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290" windowHeight="6630" activeTab="1"/>
  </bookViews>
  <sheets>
    <sheet name="Spells casting" sheetId="1" r:id="rId1"/>
    <sheet name="Chara creation" sheetId="2" r:id="rId2"/>
    <sheet name="Item creation" sheetId="3" r:id="rId3"/>
    <sheet name="Points-Score conv." sheetId="4" r:id="rId4"/>
  </sheets>
  <definedNames>
    <definedName name="COM" localSheetId="1">'Chara creation'!$E$73</definedName>
    <definedName name="COM">#REF!</definedName>
    <definedName name="COMPA" localSheetId="1">'Chara creation'!$Q$18</definedName>
    <definedName name="COMPA">#REF!</definedName>
    <definedName name="DEX" localSheetId="1">'Chara creation'!$E$74</definedName>
    <definedName name="DEX">#REF!</definedName>
    <definedName name="GROG" localSheetId="1">'Chara creation'!$Q$19</definedName>
    <definedName name="GROG">#REF!</definedName>
    <definedName name="INT" localSheetId="1">'Chara creation'!$E$68</definedName>
    <definedName name="INT">#REF!</definedName>
    <definedName name="MAGUS" localSheetId="1">'Chara creation'!$Q$17</definedName>
    <definedName name="MAGUS">#REF!</definedName>
    <definedName name="MT" localSheetId="1">'Chara creation'!$Q$152</definedName>
    <definedName name="MT">#REF!</definedName>
    <definedName name="MT_APP" localSheetId="1">'Chara creation'!$Q$206</definedName>
    <definedName name="MT_APP">#REF!</definedName>
    <definedName name="PER" localSheetId="1">'Chara creation'!$E$69</definedName>
    <definedName name="PER">#REF!</definedName>
    <definedName name="POOR" localSheetId="1">'Chara creation'!$Q$21</definedName>
    <definedName name="POOR">#REF!</definedName>
    <definedName name="PRE" localSheetId="1">'Chara creation'!$E$72</definedName>
    <definedName name="PRE">#REF!</definedName>
    <definedName name="QIK" localSheetId="1">'Chara creation'!$E$75</definedName>
    <definedName name="QIK">#REF!</definedName>
    <definedName name="SKILLP" localSheetId="1">'Chara creation'!$Q$22</definedName>
    <definedName name="SKILLP">#REF!</definedName>
    <definedName name="STA" localSheetId="1">'Chara creation'!$E$71</definedName>
    <definedName name="STA">#REF!</definedName>
    <definedName name="STR" localSheetId="1">'Chara creation'!$E$70</definedName>
    <definedName name="STR">#REF!</definedName>
    <definedName name="WEALTHY" localSheetId="1">'Chara creation'!$Q$20</definedName>
    <definedName name="WEALTHY">#REF!</definedName>
  </definedNames>
  <calcPr fullCalcOnLoad="1"/>
</workbook>
</file>

<file path=xl/comments2.xml><?xml version="1.0" encoding="utf-8"?>
<comments xmlns="http://schemas.openxmlformats.org/spreadsheetml/2006/main">
  <authors>
    <author>Sylvain</author>
  </authors>
  <commentList>
    <comment ref="F139" authorId="0">
      <text>
        <r>
          <rPr>
            <sz val="8"/>
            <rFont val="Tahoma"/>
            <family val="0"/>
          </rPr>
          <t>Magi: at least 5 points (score: 1)</t>
        </r>
      </text>
    </comment>
    <comment ref="F152" authorId="0">
      <text>
        <r>
          <rPr>
            <sz val="8"/>
            <rFont val="Tahoma"/>
            <family val="2"/>
          </rPr>
          <t>Magi: at least 5 points (score: 1)</t>
        </r>
      </text>
    </comment>
    <comment ref="F153" authorId="0">
      <text>
        <r>
          <rPr>
            <sz val="8"/>
            <rFont val="Tahoma"/>
            <family val="2"/>
          </rPr>
          <t>Magi: at least 5 points (score: 1)
Last think taught during apprenticeship.</t>
        </r>
      </text>
    </comment>
    <comment ref="I152" authorId="0">
      <text>
        <r>
          <rPr>
            <sz val="8"/>
            <rFont val="Tahoma"/>
            <family val="2"/>
          </rPr>
          <t>Magi better have a score of 3+ [30 points].
At least 3 to build a laboratory.</t>
        </r>
      </text>
    </comment>
    <comment ref="I139" authorId="0">
      <text>
        <r>
          <rPr>
            <b/>
            <sz val="8"/>
            <rFont val="Tahoma"/>
            <family val="0"/>
          </rPr>
          <t>Magi better have a score of 4+ [50 points].
At least 5 [75 points] to write a book.</t>
        </r>
      </text>
    </comment>
    <comment ref="I135" authorId="0">
      <text>
        <r>
          <rPr>
            <sz val="8"/>
            <rFont val="Tahoma"/>
            <family val="2"/>
          </rPr>
          <t>Magi better have a score of 1+ [5 points].</t>
        </r>
      </text>
    </comment>
  </commentList>
</comments>
</file>

<file path=xl/sharedStrings.xml><?xml version="1.0" encoding="utf-8"?>
<sst xmlns="http://schemas.openxmlformats.org/spreadsheetml/2006/main" count="459" uniqueCount="328">
  <si>
    <t>Formulaic</t>
  </si>
  <si>
    <t>Ritual</t>
  </si>
  <si>
    <t>OK, fatigue</t>
  </si>
  <si>
    <t>OK</t>
  </si>
  <si>
    <t>-</t>
  </si>
  <si>
    <t>Range</t>
  </si>
  <si>
    <t>+0</t>
  </si>
  <si>
    <t>+1</t>
  </si>
  <si>
    <t>+2</t>
  </si>
  <si>
    <t>+3</t>
  </si>
  <si>
    <t>+4</t>
  </si>
  <si>
    <t>Spell casting</t>
  </si>
  <si>
    <t>Personal</t>
  </si>
  <si>
    <t>Voice</t>
  </si>
  <si>
    <t>Sight</t>
  </si>
  <si>
    <t>Arcane connection</t>
  </si>
  <si>
    <t>casting score + die roll</t>
  </si>
  <si>
    <t>casting score / 5</t>
  </si>
  <si>
    <t>(casting score + stress die ) / 2</t>
  </si>
  <si>
    <t>+ artes liberales + philosophiae</t>
  </si>
  <si>
    <t>Eye</t>
  </si>
  <si>
    <t>Eye contact.</t>
  </si>
  <si>
    <t>Casting magus / things that he is wearing or carrying.</t>
  </si>
  <si>
    <t>Touch</t>
  </si>
  <si>
    <t>Duration</t>
  </si>
  <si>
    <t>Momentary</t>
  </si>
  <si>
    <t>Concentration</t>
  </si>
  <si>
    <t>Diameter</t>
  </si>
  <si>
    <t>Sun</t>
  </si>
  <si>
    <t>Ring</t>
  </si>
  <si>
    <t>Moon</t>
  </si>
  <si>
    <t>Year</t>
  </si>
  <si>
    <t>2 min.</t>
  </si>
  <si>
    <t>Next sun rises or sets.</t>
  </si>
  <si>
    <t>Both the new and full moon have set.</t>
  </si>
  <si>
    <t>Sunrise on the fourth equinox or solstice (ritual).</t>
  </si>
  <si>
    <t>Target</t>
  </si>
  <si>
    <t>Individual</t>
  </si>
  <si>
    <t>Circle</t>
  </si>
  <si>
    <t>Part</t>
  </si>
  <si>
    <t>Group</t>
  </si>
  <si>
    <t>Room</t>
  </si>
  <si>
    <t>Structure</t>
  </si>
  <si>
    <t>Boundary</t>
  </si>
  <si>
    <t>A single discrete thing (one person / object).</t>
  </si>
  <si>
    <t>Cf "ring" duration.</t>
  </si>
  <si>
    <t>A part of a discrete thing.</t>
  </si>
  <si>
    <t>Mass of ten standard individuals.</t>
  </si>
  <si>
    <t>An area 100 paces in diameter (ritual).</t>
  </si>
  <si>
    <t>A single, linked edifice (covered by one roof).</t>
  </si>
  <si>
    <t>The structure itself counts as within the structure. Ten base rooms.</t>
  </si>
  <si>
    <t>Taste</t>
  </si>
  <si>
    <t>Smell</t>
  </si>
  <si>
    <t>Hearing</t>
  </si>
  <si>
    <t>Vision</t>
  </si>
  <si>
    <t>Target for magical senses (Intellego)</t>
  </si>
  <si>
    <t>Die roll</t>
  </si>
  <si>
    <t>Simple die</t>
  </si>
  <si>
    <t>Stress die</t>
  </si>
  <si>
    <t>x2</t>
  </si>
  <si>
    <t>botch</t>
  </si>
  <si>
    <t>Realm auras</t>
  </si>
  <si>
    <t>Aura:</t>
  </si>
  <si>
    <t>Magic</t>
  </si>
  <si>
    <t>Divine</t>
  </si>
  <si>
    <t>Faerie</t>
  </si>
  <si>
    <t>Infernal</t>
  </si>
  <si>
    <t>Power:</t>
  </si>
  <si>
    <t>+ aura</t>
  </si>
  <si>
    <t>+ 1/2 x aura</t>
  </si>
  <si>
    <t>- 3 x aura</t>
  </si>
  <si>
    <t>- aura</t>
  </si>
  <si>
    <t>no effect</t>
  </si>
  <si>
    <t>- 2 x aura</t>
  </si>
  <si>
    <t>- 4 x aura</t>
  </si>
  <si>
    <t>- 5 x aura</t>
  </si>
  <si>
    <t>+ ½ x aura</t>
  </si>
  <si>
    <t>spell level</t>
  </si>
  <si>
    <t>spell level - 10</t>
  </si>
  <si>
    <t>Spontaneous, fatiguing</t>
  </si>
  <si>
    <t>Spontaneous, non-fatiguing</t>
  </si>
  <si>
    <t>The magus must draw the ring while casting (max speed: 10 paces / round = 5 feet / s).</t>
  </si>
  <si>
    <t>Stress die, no botch</t>
  </si>
  <si>
    <t>First roll</t>
  </si>
  <si>
    <t>2 to 9</t>
  </si>
  <si>
    <t>Next roll</t>
  </si>
  <si>
    <t>ARS MAGICA</t>
  </si>
  <si>
    <t>Fifth Edition</t>
  </si>
  <si>
    <t>Changing ranges, durations and targets</t>
  </si>
  <si>
    <t>Below level 5, one magnitude = one level.</t>
  </si>
  <si>
    <t>Rising one step adds one magnitude.</t>
  </si>
  <si>
    <t>Lowering one step, subtract one magnitude.</t>
  </si>
  <si>
    <t>Above level 5, one magnitude = five levels.</t>
  </si>
  <si>
    <t>Size</t>
  </si>
  <si>
    <t>Mouse</t>
  </si>
  <si>
    <t>Rat</t>
  </si>
  <si>
    <t>Rabbit</t>
  </si>
  <si>
    <t>Baby, cat</t>
  </si>
  <si>
    <t>Adolescent human, wolf</t>
  </si>
  <si>
    <t>Adult human, pig</t>
  </si>
  <si>
    <t>Horse</t>
  </si>
  <si>
    <t>Aurochs</t>
  </si>
  <si>
    <t>Elephant</t>
  </si>
  <si>
    <t>Small dragon</t>
  </si>
  <si>
    <t>fatigue</t>
  </si>
  <si>
    <t>Each extra pawn used: +2.</t>
  </si>
  <si>
    <t>MALBEC S. (2008), based on Ars Magica Fifth Edition core rulebook.</t>
  </si>
  <si>
    <t>Max: 15 min per point of concentration ability.</t>
  </si>
  <si>
    <t>General Abilities</t>
  </si>
  <si>
    <t>Later Life</t>
  </si>
  <si>
    <t>Total Experience</t>
  </si>
  <si>
    <t>Score</t>
  </si>
  <si>
    <t>Academic Abilities</t>
  </si>
  <si>
    <t>Arcane Abilities</t>
  </si>
  <si>
    <t>Martial Abilities</t>
  </si>
  <si>
    <t>Supernatural Abilities</t>
  </si>
  <si>
    <t>(Area) Lore</t>
  </si>
  <si>
    <t>Animal Handling</t>
  </si>
  <si>
    <t>Athletics</t>
  </si>
  <si>
    <t>Awareness</t>
  </si>
  <si>
    <t>Bargain</t>
  </si>
  <si>
    <t>Brawl</t>
  </si>
  <si>
    <t>Carouse</t>
  </si>
  <si>
    <t>Charm</t>
  </si>
  <si>
    <t>Chirurgy*</t>
  </si>
  <si>
    <t>Craft (Type)</t>
  </si>
  <si>
    <t>Etiquette</t>
  </si>
  <si>
    <t>Folk Ken</t>
  </si>
  <si>
    <t>Guile</t>
  </si>
  <si>
    <t>Hunt</t>
  </si>
  <si>
    <t>Intrigue</t>
  </si>
  <si>
    <t>Leadership</t>
  </si>
  <si>
    <t>Legerdemain*</t>
  </si>
  <si>
    <t>Native Language</t>
  </si>
  <si>
    <t>(Living Language)*</t>
  </si>
  <si>
    <t>Music</t>
  </si>
  <si>
    <t>(Organization) Lore</t>
  </si>
  <si>
    <t>Profession (Type)</t>
  </si>
  <si>
    <t>Ride</t>
  </si>
  <si>
    <t>Stealth</t>
  </si>
  <si>
    <t>Survival</t>
  </si>
  <si>
    <t>Swim</t>
  </si>
  <si>
    <t>Teaching</t>
  </si>
  <si>
    <t>Creo</t>
  </si>
  <si>
    <t>Inetllego</t>
  </si>
  <si>
    <t>Muto</t>
  </si>
  <si>
    <t>Perdo</t>
  </si>
  <si>
    <t>Rego</t>
  </si>
  <si>
    <t>Animal</t>
  </si>
  <si>
    <t>Auram</t>
  </si>
  <si>
    <t>Corpus</t>
  </si>
  <si>
    <t>Herbam</t>
  </si>
  <si>
    <t>Ignem</t>
  </si>
  <si>
    <t>Imaginem</t>
  </si>
  <si>
    <t>Mentem</t>
  </si>
  <si>
    <t>Terram</t>
  </si>
  <si>
    <t>Vis</t>
  </si>
  <si>
    <t>Artes Liberales*</t>
  </si>
  <si>
    <t>Civil and Canon Law*</t>
  </si>
  <si>
    <t>Common Law*</t>
  </si>
  <si>
    <t>(Dead Language)</t>
  </si>
  <si>
    <t>Medicine*</t>
  </si>
  <si>
    <t>Philosaphiae*</t>
  </si>
  <si>
    <t>Theology*</t>
  </si>
  <si>
    <t>Code of Hermes*</t>
  </si>
  <si>
    <t>Dominion Lore*</t>
  </si>
  <si>
    <t>Faerie Lore*</t>
  </si>
  <si>
    <t>Finesse</t>
  </si>
  <si>
    <t>Infernal Lore*</t>
  </si>
  <si>
    <t>Magic Lore*</t>
  </si>
  <si>
    <t>Parma Magica*</t>
  </si>
  <si>
    <t>Penetration</t>
  </si>
  <si>
    <t>Bows</t>
  </si>
  <si>
    <t>Great Weapon</t>
  </si>
  <si>
    <t>Single Weapon</t>
  </si>
  <si>
    <t>Thrown Weapon</t>
  </si>
  <si>
    <t>Animal Ken*</t>
  </si>
  <si>
    <t>Dowsing*</t>
  </si>
  <si>
    <t>Enchanting Music*</t>
  </si>
  <si>
    <t>Entrancement*</t>
  </si>
  <si>
    <t>Magic Sensitivity*</t>
  </si>
  <si>
    <t>Premonitions*</t>
  </si>
  <si>
    <t>Second Sight*</t>
  </si>
  <si>
    <t>Sense Holiness &amp; Unholiness*</t>
  </si>
  <si>
    <t>Shapeshifter*</t>
  </si>
  <si>
    <t>Wilderness Sense*</t>
  </si>
  <si>
    <t>Early Childhood</t>
  </si>
  <si>
    <t>Points to spend</t>
  </si>
  <si>
    <t>Years</t>
  </si>
  <si>
    <t>Magical arts</t>
  </si>
  <si>
    <r>
      <t xml:space="preserve">Apprenticeship
</t>
    </r>
    <r>
      <rPr>
        <sz val="10"/>
        <rFont val="Arial"/>
        <family val="2"/>
      </rPr>
      <t>(Magi Only)</t>
    </r>
  </si>
  <si>
    <t>Next level</t>
  </si>
  <si>
    <t>30 points per year</t>
  </si>
  <si>
    <t>Aquam</t>
  </si>
  <si>
    <t>Forms</t>
  </si>
  <si>
    <t>Flaws</t>
  </si>
  <si>
    <t>Between -3 and +3.</t>
  </si>
  <si>
    <t>Intelligence</t>
  </si>
  <si>
    <t>Perception</t>
  </si>
  <si>
    <t>Strength</t>
  </si>
  <si>
    <t>Stamina</t>
  </si>
  <si>
    <t>Presence</t>
  </si>
  <si>
    <t>Communication</t>
  </si>
  <si>
    <t>Dexterity</t>
  </si>
  <si>
    <t>Quickness</t>
  </si>
  <si>
    <t>Character concept:</t>
  </si>
  <si>
    <r>
      <t xml:space="preserve">After Apprenticeship
</t>
    </r>
    <r>
      <rPr>
        <sz val="10"/>
        <rFont val="Arial"/>
        <family val="2"/>
      </rPr>
      <t>(magi only)</t>
    </r>
  </si>
  <si>
    <r>
      <t xml:space="preserve">Apprenticeship
</t>
    </r>
    <r>
      <rPr>
        <sz val="10"/>
        <rFont val="Arial"/>
        <family val="2"/>
      </rPr>
      <t>(magi only)</t>
    </r>
  </si>
  <si>
    <r>
      <t xml:space="preserve">House </t>
    </r>
    <r>
      <rPr>
        <u val="single"/>
        <sz val="10"/>
        <rFont val="Arial"/>
        <family val="2"/>
      </rPr>
      <t>(magi only)</t>
    </r>
    <r>
      <rPr>
        <b/>
        <u val="single"/>
        <sz val="10"/>
        <rFont val="Arial"/>
        <family val="2"/>
      </rPr>
      <t>:</t>
    </r>
  </si>
  <si>
    <t>Virtues and flaws:</t>
  </si>
  <si>
    <t>Virtues</t>
  </si>
  <si>
    <t>Points</t>
  </si>
  <si>
    <t>(Points)</t>
  </si>
  <si>
    <t>Mundane skills</t>
  </si>
  <si>
    <t>Charac.</t>
  </si>
  <si>
    <t>Characteristics:</t>
  </si>
  <si>
    <t>Legend:</t>
  </si>
  <si>
    <t>User-entry field.</t>
  </si>
  <si>
    <t>i</t>
  </si>
  <si>
    <t>Information.</t>
  </si>
  <si>
    <t>&lt;-- Modify ONLY the user-entry fields.</t>
  </si>
  <si>
    <t>5-8</t>
  </si>
  <si>
    <t>Skills:</t>
  </si>
  <si>
    <r>
      <t>Magical Arts</t>
    </r>
    <r>
      <rPr>
        <sz val="10"/>
        <rFont val="Arial"/>
        <family val="2"/>
      </rPr>
      <t xml:space="preserve"> (magi only)</t>
    </r>
  </si>
  <si>
    <r>
      <t xml:space="preserve">Experience
</t>
    </r>
    <r>
      <rPr>
        <sz val="10"/>
        <rFont val="Arial"/>
        <family val="2"/>
      </rPr>
      <t>(over score)</t>
    </r>
  </si>
  <si>
    <t>Do you have the "Wealthy" major virtue?</t>
  </si>
  <si>
    <t>Do you have the "Poor" major flaw?</t>
  </si>
  <si>
    <t>[Y/N]</t>
  </si>
  <si>
    <t>Fixed or pseudo-fixed value.</t>
  </si>
  <si>
    <t>Points per year in later life</t>
  </si>
  <si>
    <t>Techniques</t>
  </si>
  <si>
    <t>Personality:</t>
  </si>
  <si>
    <r>
      <t>Confidence</t>
    </r>
    <r>
      <rPr>
        <u val="single"/>
        <sz val="10"/>
        <rFont val="Arial"/>
        <family val="2"/>
      </rPr>
      <t xml:space="preserve"> (companions and magi only)</t>
    </r>
    <r>
      <rPr>
        <b/>
        <u val="single"/>
        <sz val="10"/>
        <rFont val="Arial"/>
        <family val="2"/>
      </rPr>
      <t>:</t>
    </r>
  </si>
  <si>
    <t>Grogs should have a score in "Loyal".</t>
  </si>
  <si>
    <t>Wariors should have a score in "Brave".</t>
  </si>
  <si>
    <t>Confidence</t>
  </si>
  <si>
    <t>(Unless a virtue or flaw modify this.)</t>
  </si>
  <si>
    <t>Not available.</t>
  </si>
  <si>
    <t>45 points + 75</t>
  </si>
  <si>
    <t>Age</t>
  </si>
  <si>
    <t>Maximum ability</t>
  </si>
  <si>
    <t>Age+</t>
  </si>
  <si>
    <t>Maximum level (score)</t>
  </si>
  <si>
    <t>Max. level (score)</t>
  </si>
  <si>
    <t>Wealthy?</t>
  </si>
  <si>
    <t>Poor?</t>
  </si>
  <si>
    <t>Remaning (points)</t>
  </si>
  <si>
    <t>Magic Theory*</t>
  </si>
  <si>
    <t>— Latin</t>
  </si>
  <si>
    <t>Maximum spell level</t>
  </si>
  <si>
    <t>During apprenceship</t>
  </si>
  <si>
    <t>Levels to spend</t>
  </si>
  <si>
    <t>240 points + 120 levels of spells</t>
  </si>
  <si>
    <r>
      <t>Spells</t>
    </r>
    <r>
      <rPr>
        <sz val="10"/>
        <rFont val="Arial"/>
        <family val="0"/>
      </rPr>
      <t xml:space="preserve"> (magi only)</t>
    </r>
  </si>
  <si>
    <t>Remaning (levels)</t>
  </si>
  <si>
    <t>Spent</t>
  </si>
  <si>
    <t>Levels</t>
  </si>
  <si>
    <t>Maximum</t>
  </si>
  <si>
    <t>Are you a compagnon?</t>
  </si>
  <si>
    <t>Comp?</t>
  </si>
  <si>
    <t>Are you a grog?</t>
  </si>
  <si>
    <t>Grog?</t>
  </si>
  <si>
    <t>Virtue</t>
  </si>
  <si>
    <t>Flaw</t>
  </si>
  <si>
    <t>Virtues &amp; Flaws</t>
  </si>
  <si>
    <t>Magus?</t>
  </si>
  <si>
    <t>Are you a magus?</t>
  </si>
  <si>
    <t>Remaining</t>
  </si>
  <si>
    <t>All magi should have at least one Hermetic flaw.</t>
  </si>
  <si>
    <t>INT</t>
  </si>
  <si>
    <t>PER</t>
  </si>
  <si>
    <t>STR</t>
  </si>
  <si>
    <t>STA</t>
  </si>
  <si>
    <t>PRE</t>
  </si>
  <si>
    <t>COM</t>
  </si>
  <si>
    <t>DEX</t>
  </si>
  <si>
    <t>QIK</t>
  </si>
  <si>
    <t>Intermediate result.</t>
  </si>
  <si>
    <t>Result.</t>
  </si>
  <si>
    <t>All characters must take a social status.</t>
  </si>
  <si>
    <t>A character should not have more than one story flaw.</t>
  </si>
  <si>
    <t>A character can not have more than one majong personality flaw.</t>
  </si>
  <si>
    <t>See p.37.</t>
  </si>
  <si>
    <t>Free minor virtue from the house.</t>
  </si>
  <si>
    <t>r</t>
  </si>
  <si>
    <t>INT and STA are essential for a magus, see p.18 and p.30.</t>
  </si>
  <si>
    <t>Do you have the "Skilled parens" minor virtue?</t>
  </si>
  <si>
    <t>Skilled parens?</t>
  </si>
  <si>
    <t>Next</t>
  </si>
  <si>
    <t>Labo</t>
  </si>
  <si>
    <t>Magic theory (during apprenticeship)</t>
  </si>
  <si>
    <t>Ritual : At least spell level 20. Need one pawn of vis per magnitude.</t>
  </si>
  <si>
    <t>Invalid user-entry message.</t>
  </si>
  <si>
    <t>Expiry:</t>
  </si>
  <si>
    <t>Excess modifier:</t>
  </si>
  <si>
    <t>Max vis per season</t>
  </si>
  <si>
    <t>Magic Theory</t>
  </si>
  <si>
    <t>1 year</t>
  </si>
  <si>
    <t>x10</t>
  </si>
  <si>
    <t>Lab base</t>
  </si>
  <si>
    <t>(hors arts)</t>
  </si>
  <si>
    <t>7 years</t>
  </si>
  <si>
    <t>x5</t>
  </si>
  <si>
    <t>70 years</t>
  </si>
  <si>
    <t>Invested item:</t>
  </si>
  <si>
    <t>Material</t>
  </si>
  <si>
    <t>Shape</t>
  </si>
  <si>
    <t>Material &amp; shape</t>
  </si>
  <si>
    <t>Base</t>
  </si>
  <si>
    <t>Multiplier</t>
  </si>
  <si>
    <t>Seasons</t>
  </si>
  <si>
    <t>Sim. spell</t>
  </si>
  <si>
    <t>Expiry</t>
  </si>
  <si>
    <t>Craft</t>
  </si>
  <si>
    <t>Effects</t>
  </si>
  <si>
    <t>Level</t>
  </si>
  <si>
    <t>Arts</t>
  </si>
  <si>
    <t>Bonus</t>
  </si>
  <si>
    <t>Modifier</t>
  </si>
  <si>
    <t>Lab total</t>
  </si>
  <si>
    <t>Points per season</t>
  </si>
  <si>
    <t>TOTAL</t>
  </si>
  <si>
    <t>Lesser enchantment / Charged item:</t>
  </si>
  <si>
    <t>Sim.spell</t>
  </si>
  <si>
    <t>Charges</t>
  </si>
  <si>
    <t>Enclosed, large enough for 100 standard individuals.</t>
  </si>
  <si>
    <t>Big human, pony</t>
  </si>
  <si>
    <t>Child, medium dog, sheep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</si>
</sst>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+0"/>
    <numFmt numFmtId="173" formatCode="0,;[Red]\-0\ "/>
    <numFmt numFmtId="174" formatCode="0;[Red]\-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24"/>
      <name val="Comic Sans MS"/>
      <family val="4"/>
    </font>
    <font>
      <sz val="12"/>
      <name val="Comic Sans MS"/>
      <family val="4"/>
    </font>
    <font>
      <sz val="10"/>
      <color indexed="55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5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trike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3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0" fillId="0" borderId="14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9" xfId="0" applyBorder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 quotePrefix="1">
      <alignment/>
    </xf>
    <xf numFmtId="0" fontId="0" fillId="0" borderId="25" xfId="0" applyBorder="1" applyAlignment="1" quotePrefix="1">
      <alignment/>
    </xf>
    <xf numFmtId="0" fontId="0" fillId="0" borderId="26" xfId="0" applyBorder="1" applyAlignment="1" quotePrefix="1">
      <alignment/>
    </xf>
    <xf numFmtId="0" fontId="1" fillId="0" borderId="27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174" fontId="1" fillId="24" borderId="28" xfId="0" applyNumberFormat="1" applyFont="1" applyFill="1" applyBorder="1" applyAlignment="1">
      <alignment horizontal="center"/>
    </xf>
    <xf numFmtId="174" fontId="0" fillId="22" borderId="28" xfId="0" applyNumberFormat="1" applyFill="1" applyBorder="1" applyAlignment="1">
      <alignment horizontal="center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24" borderId="0" xfId="0" applyNumberFormat="1" applyFont="1" applyFill="1" applyAlignment="1">
      <alignment horizontal="right"/>
    </xf>
    <xf numFmtId="174" fontId="0" fillId="24" borderId="0" xfId="0" applyNumberFormat="1" applyFill="1" applyAlignment="1">
      <alignment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 horizontal="right"/>
    </xf>
    <xf numFmtId="174" fontId="0" fillId="22" borderId="28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24" borderId="28" xfId="0" applyNumberFormat="1" applyFill="1" applyBorder="1" applyAlignment="1">
      <alignment/>
    </xf>
    <xf numFmtId="174" fontId="0" fillId="25" borderId="28" xfId="0" applyNumberFormat="1" applyFill="1" applyBorder="1" applyAlignment="1">
      <alignment/>
    </xf>
    <xf numFmtId="174" fontId="6" fillId="0" borderId="28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/>
    </xf>
    <xf numFmtId="174" fontId="1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4" fontId="0" fillId="25" borderId="28" xfId="0" applyNumberFormat="1" applyFill="1" applyBorder="1" applyAlignment="1">
      <alignment horizontal="center"/>
    </xf>
    <xf numFmtId="174" fontId="1" fillId="0" borderId="0" xfId="0" applyNumberFormat="1" applyFont="1" applyAlignment="1">
      <alignment horizontal="center" textRotation="90"/>
    </xf>
    <xf numFmtId="174" fontId="1" fillId="0" borderId="0" xfId="0" applyNumberFormat="1" applyFont="1" applyAlignment="1">
      <alignment horizontal="center" textRotation="90" wrapText="1"/>
    </xf>
    <xf numFmtId="174" fontId="1" fillId="0" borderId="0" xfId="0" applyNumberFormat="1" applyFont="1" applyAlignment="1">
      <alignment horizontal="right" textRotation="90"/>
    </xf>
    <xf numFmtId="174" fontId="1" fillId="0" borderId="0" xfId="0" applyNumberFormat="1" applyFont="1" applyAlignment="1">
      <alignment horizontal="right" textRotation="90" wrapText="1"/>
    </xf>
    <xf numFmtId="174" fontId="0" fillId="0" borderId="0" xfId="0" applyNumberFormat="1" applyAlignment="1">
      <alignment horizontal="center" vertical="top" wrapText="1"/>
    </xf>
    <xf numFmtId="174" fontId="0" fillId="0" borderId="0" xfId="0" applyNumberFormat="1" applyFont="1" applyAlignment="1">
      <alignment horizontal="center" vertical="top" wrapText="1"/>
    </xf>
    <xf numFmtId="174" fontId="10" fillId="0" borderId="0" xfId="0" applyNumberFormat="1" applyFont="1" applyAlignment="1">
      <alignment horizontal="center"/>
    </xf>
    <xf numFmtId="174" fontId="0" fillId="0" borderId="0" xfId="0" applyNumberFormat="1" applyFont="1" applyBorder="1" applyAlignment="1">
      <alignment vertical="top" wrapText="1"/>
    </xf>
    <xf numFmtId="174" fontId="0" fillId="0" borderId="0" xfId="0" applyNumberFormat="1" applyBorder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174" fontId="5" fillId="0" borderId="0" xfId="0" applyNumberFormat="1" applyFont="1" applyAlignment="1">
      <alignment/>
    </xf>
    <xf numFmtId="174" fontId="0" fillId="24" borderId="28" xfId="0" applyNumberFormat="1" applyFill="1" applyBorder="1" applyAlignment="1">
      <alignment horizontal="center"/>
    </xf>
    <xf numFmtId="0" fontId="1" fillId="22" borderId="28" xfId="0" applyNumberFormat="1" applyFont="1" applyFill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0" fontId="0" fillId="24" borderId="0" xfId="0" applyNumberFormat="1" applyFill="1" applyBorder="1" applyAlignment="1">
      <alignment horizontal="center"/>
    </xf>
    <xf numFmtId="174" fontId="1" fillId="0" borderId="0" xfId="0" applyNumberFormat="1" applyFont="1" applyAlignment="1" quotePrefix="1">
      <alignment horizontal="center"/>
    </xf>
    <xf numFmtId="174" fontId="10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174" fontId="12" fillId="0" borderId="0" xfId="0" applyNumberFormat="1" applyFont="1" applyAlignment="1" quotePrefix="1">
      <alignment horizontal="center"/>
    </xf>
    <xf numFmtId="174" fontId="0" fillId="22" borderId="0" xfId="0" applyNumberFormat="1" applyFill="1" applyAlignment="1">
      <alignment/>
    </xf>
    <xf numFmtId="174" fontId="0" fillId="22" borderId="0" xfId="0" applyNumberFormat="1" applyFill="1" applyBorder="1" applyAlignment="1">
      <alignment/>
    </xf>
    <xf numFmtId="174" fontId="1" fillId="25" borderId="28" xfId="0" applyNumberFormat="1" applyFont="1" applyFill="1" applyBorder="1" applyAlignment="1">
      <alignment horizontal="center"/>
    </xf>
    <xf numFmtId="174" fontId="0" fillId="20" borderId="29" xfId="0" applyNumberFormat="1" applyFill="1" applyBorder="1" applyAlignment="1">
      <alignment horizontal="center"/>
    </xf>
    <xf numFmtId="174" fontId="6" fillId="0" borderId="17" xfId="0" applyNumberFormat="1" applyFont="1" applyBorder="1" applyAlignment="1">
      <alignment horizontal="center"/>
    </xf>
    <xf numFmtId="174" fontId="6" fillId="20" borderId="28" xfId="0" applyNumberFormat="1" applyFont="1" applyFill="1" applyBorder="1" applyAlignment="1">
      <alignment horizontal="center"/>
    </xf>
    <xf numFmtId="174" fontId="6" fillId="20" borderId="29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/>
    </xf>
    <xf numFmtId="174" fontId="0" fillId="20" borderId="0" xfId="0" applyNumberFormat="1" applyFill="1" applyAlignment="1">
      <alignment/>
    </xf>
    <xf numFmtId="174" fontId="1" fillId="20" borderId="0" xfId="0" applyNumberFormat="1" applyFont="1" applyFill="1" applyAlignment="1">
      <alignment/>
    </xf>
    <xf numFmtId="174" fontId="13" fillId="0" borderId="0" xfId="0" applyNumberFormat="1" applyFont="1" applyAlignment="1">
      <alignment horizontal="center" vertical="top" wrapText="1"/>
    </xf>
    <xf numFmtId="174" fontId="0" fillId="20" borderId="28" xfId="0" applyNumberFormat="1" applyFill="1" applyBorder="1" applyAlignment="1">
      <alignment horizontal="center"/>
    </xf>
    <xf numFmtId="174" fontId="0" fillId="25" borderId="2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74" fontId="0" fillId="26" borderId="0" xfId="0" applyNumberFormat="1" applyFill="1" applyAlignment="1">
      <alignment/>
    </xf>
    <xf numFmtId="174" fontId="0" fillId="26" borderId="0" xfId="0" applyNumberFormat="1" applyFill="1" applyAlignment="1">
      <alignment/>
    </xf>
    <xf numFmtId="174" fontId="11" fillId="0" borderId="0" xfId="0" applyNumberFormat="1" applyFont="1" applyAlignment="1">
      <alignment/>
    </xf>
    <xf numFmtId="174" fontId="0" fillId="20" borderId="0" xfId="0" applyNumberFormat="1" applyFill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0" fillId="0" borderId="0" xfId="0" applyNumberFormat="1" applyFont="1" applyAlignment="1">
      <alignment/>
    </xf>
    <xf numFmtId="174" fontId="0" fillId="20" borderId="0" xfId="0" applyNumberFormat="1" applyFill="1" applyBorder="1" applyAlignment="1">
      <alignment horizontal="center"/>
    </xf>
    <xf numFmtId="174" fontId="10" fillId="0" borderId="0" xfId="0" applyNumberFormat="1" applyFont="1" applyAlignment="1" quotePrefix="1">
      <alignment/>
    </xf>
    <xf numFmtId="174" fontId="1" fillId="20" borderId="28" xfId="0" applyNumberFormat="1" applyFont="1" applyFill="1" applyBorder="1" applyAlignment="1" quotePrefix="1">
      <alignment horizontal="center"/>
    </xf>
    <xf numFmtId="174" fontId="0" fillId="0" borderId="17" xfId="0" applyNumberFormat="1" applyFill="1" applyBorder="1" applyAlignment="1">
      <alignment/>
    </xf>
    <xf numFmtId="174" fontId="6" fillId="0" borderId="10" xfId="0" applyNumberFormat="1" applyFont="1" applyBorder="1" applyAlignment="1">
      <alignment horizontal="center"/>
    </xf>
    <xf numFmtId="174" fontId="6" fillId="0" borderId="19" xfId="0" applyNumberFormat="1" applyFont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174" fontId="1" fillId="24" borderId="0" xfId="0" applyNumberFormat="1" applyFont="1" applyFill="1" applyAlignment="1">
      <alignment horizontal="center"/>
    </xf>
    <xf numFmtId="174" fontId="1" fillId="24" borderId="10" xfId="0" applyNumberFormat="1" applyFont="1" applyFill="1" applyBorder="1" applyAlignment="1">
      <alignment horizontal="center"/>
    </xf>
    <xf numFmtId="174" fontId="1" fillId="24" borderId="17" xfId="0" applyNumberFormat="1" applyFont="1" applyFill="1" applyBorder="1" applyAlignment="1">
      <alignment horizontal="center"/>
    </xf>
    <xf numFmtId="174" fontId="1" fillId="24" borderId="19" xfId="0" applyNumberFormat="1" applyFont="1" applyFill="1" applyBorder="1" applyAlignment="1">
      <alignment horizontal="center"/>
    </xf>
    <xf numFmtId="174" fontId="0" fillId="25" borderId="30" xfId="0" applyNumberFormat="1" applyFill="1" applyBorder="1" applyAlignment="1">
      <alignment horizontal="center"/>
    </xf>
    <xf numFmtId="174" fontId="0" fillId="26" borderId="0" xfId="0" applyNumberFormat="1" applyFont="1" applyFill="1" applyAlignment="1">
      <alignment/>
    </xf>
    <xf numFmtId="174" fontId="0" fillId="0" borderId="0" xfId="0" applyNumberFormat="1" applyFont="1" applyAlignment="1">
      <alignment horizontal="center"/>
    </xf>
    <xf numFmtId="174" fontId="0" fillId="20" borderId="0" xfId="0" applyNumberFormat="1" applyFill="1" applyBorder="1" applyAlignment="1">
      <alignment/>
    </xf>
    <xf numFmtId="174" fontId="7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74" fontId="1" fillId="26" borderId="0" xfId="0" applyNumberFormat="1" applyFont="1" applyFill="1" applyAlignment="1">
      <alignment horizontal="center"/>
    </xf>
    <xf numFmtId="174" fontId="1" fillId="0" borderId="0" xfId="0" applyNumberFormat="1" applyFont="1" applyBorder="1" applyAlignment="1">
      <alignment/>
    </xf>
    <xf numFmtId="174" fontId="10" fillId="0" borderId="28" xfId="0" applyNumberFormat="1" applyFont="1" applyBorder="1" applyAlignment="1">
      <alignment horizontal="center"/>
    </xf>
    <xf numFmtId="174" fontId="0" fillId="0" borderId="0" xfId="0" applyNumberFormat="1" applyAlignment="1" quotePrefix="1">
      <alignment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6" borderId="0" xfId="0" applyFill="1" applyAlignment="1">
      <alignment/>
    </xf>
    <xf numFmtId="0" fontId="1" fillId="0" borderId="0" xfId="0" applyFont="1" applyAlignment="1">
      <alignment/>
    </xf>
    <xf numFmtId="0" fontId="0" fillId="22" borderId="28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0" fillId="22" borderId="3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31" xfId="0" applyBorder="1" applyAlignment="1">
      <alignment horizontal="center"/>
    </xf>
    <xf numFmtId="0" fontId="0" fillId="26" borderId="0" xfId="0" applyFill="1" applyAlignment="1">
      <alignment/>
    </xf>
    <xf numFmtId="174" fontId="0" fillId="22" borderId="0" xfId="0" applyNumberFormat="1" applyFont="1" applyFill="1" applyBorder="1" applyAlignment="1">
      <alignment/>
    </xf>
    <xf numFmtId="174" fontId="0" fillId="22" borderId="22" xfId="0" applyNumberFormat="1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0" fillId="0" borderId="0" xfId="0" applyFont="1" applyAlignment="1">
      <alignment/>
    </xf>
    <xf numFmtId="0" fontId="10" fillId="26" borderId="0" xfId="0" applyFont="1" applyFill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74" fontId="16" fillId="22" borderId="10" xfId="0" applyNumberFormat="1" applyFont="1" applyFill="1" applyBorder="1" applyAlignment="1">
      <alignment/>
    </xf>
    <xf numFmtId="0" fontId="0" fillId="27" borderId="0" xfId="0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24" borderId="2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17" fillId="0" borderId="0" xfId="0" applyFont="1" applyAlignment="1">
      <alignment/>
    </xf>
    <xf numFmtId="174" fontId="0" fillId="22" borderId="21" xfId="0" applyNumberFormat="1" applyFont="1" applyFill="1" applyBorder="1" applyAlignment="1">
      <alignment/>
    </xf>
    <xf numFmtId="174" fontId="0" fillId="22" borderId="0" xfId="0" applyNumberFormat="1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4" fontId="0" fillId="22" borderId="32" xfId="0" applyNumberFormat="1" applyFill="1" applyBorder="1" applyAlignment="1">
      <alignment vertical="top" wrapText="1"/>
    </xf>
    <xf numFmtId="174" fontId="0" fillId="22" borderId="21" xfId="0" applyNumberFormat="1" applyFill="1" applyBorder="1" applyAlignment="1">
      <alignment vertical="top" wrapText="1"/>
    </xf>
    <xf numFmtId="174" fontId="0" fillId="22" borderId="33" xfId="0" applyNumberFormat="1" applyFill="1" applyBorder="1" applyAlignment="1">
      <alignment vertical="top" wrapText="1"/>
    </xf>
    <xf numFmtId="174" fontId="0" fillId="22" borderId="32" xfId="0" applyNumberFormat="1" applyFill="1" applyBorder="1" applyAlignment="1">
      <alignment/>
    </xf>
    <xf numFmtId="174" fontId="0" fillId="22" borderId="33" xfId="0" applyNumberFormat="1" applyFill="1" applyBorder="1" applyAlignment="1">
      <alignment/>
    </xf>
    <xf numFmtId="174" fontId="9" fillId="24" borderId="32" xfId="0" applyNumberFormat="1" applyFont="1" applyFill="1" applyBorder="1" applyAlignment="1">
      <alignment horizontal="center"/>
    </xf>
    <xf numFmtId="174" fontId="9" fillId="24" borderId="33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7" xfId="0" applyNumberFormat="1" applyFont="1" applyBorder="1" applyAlignment="1">
      <alignment vertical="top" wrapText="1"/>
    </xf>
    <xf numFmtId="174" fontId="1" fillId="0" borderId="19" xfId="0" applyNumberFormat="1" applyFont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showGridLines="0" zoomScalePageLayoutView="0" workbookViewId="0" topLeftCell="A27">
      <selection activeCell="AC55" sqref="AC55"/>
    </sheetView>
  </sheetViews>
  <sheetFormatPr defaultColWidth="11.421875" defaultRowHeight="12.75"/>
  <cols>
    <col min="1" max="1" width="1.421875" style="0" customWidth="1"/>
    <col min="2" max="26" width="3.7109375" style="0" customWidth="1"/>
    <col min="27" max="27" width="1.421875" style="0" customWidth="1"/>
    <col min="28" max="28" width="3.7109375" style="0" customWidth="1"/>
  </cols>
  <sheetData>
    <row r="1" ht="37.5">
      <c r="B1" s="39" t="s">
        <v>86</v>
      </c>
    </row>
    <row r="2" ht="19.5">
      <c r="B2" s="40" t="s">
        <v>87</v>
      </c>
    </row>
    <row r="3" ht="12.75">
      <c r="H3" s="13"/>
    </row>
    <row r="4" spans="2:26" ht="12.75">
      <c r="B4" s="14" t="s">
        <v>11</v>
      </c>
      <c r="C4" s="11"/>
      <c r="D4" s="11"/>
      <c r="E4" s="11"/>
      <c r="F4" s="11"/>
      <c r="G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 t="s">
        <v>77</v>
      </c>
      <c r="U4" s="11"/>
      <c r="V4" s="11"/>
      <c r="W4" s="11" t="s">
        <v>78</v>
      </c>
      <c r="X4" s="11"/>
      <c r="Y4" s="11"/>
      <c r="Z4" s="15"/>
    </row>
    <row r="5" spans="2:26" ht="4.5" customHeight="1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8"/>
      <c r="U5" s="13"/>
      <c r="V5" s="13"/>
      <c r="W5" s="18"/>
      <c r="X5" s="13"/>
      <c r="Y5" s="13"/>
      <c r="Z5" s="17"/>
    </row>
    <row r="6" spans="2:26" ht="12.75">
      <c r="B6" s="6" t="s">
        <v>80</v>
      </c>
      <c r="D6" s="12"/>
      <c r="E6" s="12"/>
      <c r="F6" s="12"/>
      <c r="G6" s="12"/>
      <c r="H6" s="15"/>
      <c r="I6" s="12" t="s">
        <v>17</v>
      </c>
      <c r="J6" s="12"/>
      <c r="K6" s="12"/>
      <c r="L6" s="12"/>
      <c r="M6" s="12"/>
      <c r="N6" s="12"/>
      <c r="O6" s="12"/>
      <c r="P6" s="12"/>
      <c r="Q6" s="15"/>
      <c r="R6" s="11" t="s">
        <v>3</v>
      </c>
      <c r="S6" s="4"/>
      <c r="T6" s="9"/>
      <c r="U6" s="4" t="s">
        <v>4</v>
      </c>
      <c r="V6" s="4"/>
      <c r="W6" s="9"/>
      <c r="X6" s="4" t="s">
        <v>4</v>
      </c>
      <c r="Y6" s="4"/>
      <c r="Z6" s="5"/>
    </row>
    <row r="7" spans="2:26" ht="12.75">
      <c r="B7" s="6" t="s">
        <v>79</v>
      </c>
      <c r="C7" s="12"/>
      <c r="D7" s="12"/>
      <c r="E7" s="12"/>
      <c r="F7" s="12"/>
      <c r="G7" s="12"/>
      <c r="H7" s="2"/>
      <c r="I7" s="12" t="s">
        <v>18</v>
      </c>
      <c r="J7" s="12"/>
      <c r="K7" s="12"/>
      <c r="L7" s="12"/>
      <c r="M7" s="12"/>
      <c r="N7" s="12"/>
      <c r="O7" s="12"/>
      <c r="P7" s="12"/>
      <c r="Q7" s="2"/>
      <c r="R7" s="12" t="s">
        <v>2</v>
      </c>
      <c r="S7" s="7"/>
      <c r="T7" s="10"/>
      <c r="U7" s="7" t="s">
        <v>104</v>
      </c>
      <c r="V7" s="7"/>
      <c r="W7" s="10"/>
      <c r="X7" s="7" t="s">
        <v>104</v>
      </c>
      <c r="Y7" s="7"/>
      <c r="Z7" s="3"/>
    </row>
    <row r="8" spans="2:26" ht="12.75">
      <c r="B8" s="6" t="s">
        <v>0</v>
      </c>
      <c r="C8" s="12"/>
      <c r="D8" s="12"/>
      <c r="E8" s="12"/>
      <c r="F8" s="12"/>
      <c r="G8" s="12"/>
      <c r="H8" s="2"/>
      <c r="I8" s="12" t="s">
        <v>16</v>
      </c>
      <c r="J8" s="12"/>
      <c r="K8" s="12"/>
      <c r="L8" s="12"/>
      <c r="M8" s="12"/>
      <c r="N8" s="12"/>
      <c r="O8" s="12"/>
      <c r="P8" s="12"/>
      <c r="Q8" s="2"/>
      <c r="R8" s="12" t="s">
        <v>3</v>
      </c>
      <c r="S8" s="7"/>
      <c r="T8" s="10"/>
      <c r="U8" s="7" t="s">
        <v>2</v>
      </c>
      <c r="V8" s="7"/>
      <c r="W8" s="10"/>
      <c r="X8" s="7" t="s">
        <v>104</v>
      </c>
      <c r="Y8" s="7"/>
      <c r="Z8" s="3"/>
    </row>
    <row r="9" spans="2:26" ht="12.75">
      <c r="B9" s="6" t="s">
        <v>1</v>
      </c>
      <c r="C9" s="12"/>
      <c r="D9" s="12"/>
      <c r="E9" s="12"/>
      <c r="F9" s="12"/>
      <c r="G9" s="12"/>
      <c r="H9" s="2"/>
      <c r="I9" s="12" t="s">
        <v>16</v>
      </c>
      <c r="J9" s="12"/>
      <c r="K9" s="12"/>
      <c r="L9" s="12"/>
      <c r="M9" s="12"/>
      <c r="N9" s="12"/>
      <c r="O9" s="12"/>
      <c r="P9" s="12"/>
      <c r="Q9" s="2"/>
      <c r="R9" s="12" t="s">
        <v>2</v>
      </c>
      <c r="S9" s="7"/>
      <c r="T9" s="10"/>
      <c r="U9" s="7" t="s">
        <v>2</v>
      </c>
      <c r="V9" s="7"/>
      <c r="W9" s="10"/>
      <c r="X9" s="7" t="s">
        <v>104</v>
      </c>
      <c r="Y9" s="7"/>
      <c r="Z9" s="3"/>
    </row>
    <row r="10" spans="2:26" ht="12.75">
      <c r="B10" s="8"/>
      <c r="C10" s="13"/>
      <c r="D10" s="13"/>
      <c r="E10" s="13"/>
      <c r="F10" s="13"/>
      <c r="G10" s="13"/>
      <c r="H10" s="17"/>
      <c r="I10" s="13"/>
      <c r="J10" s="16" t="s">
        <v>19</v>
      </c>
      <c r="K10" s="13"/>
      <c r="L10" s="13"/>
      <c r="M10" s="13"/>
      <c r="N10" s="13"/>
      <c r="O10" s="13"/>
      <c r="P10" s="13"/>
      <c r="Q10" s="17"/>
      <c r="R10" s="13"/>
      <c r="S10" s="13"/>
      <c r="T10" s="18"/>
      <c r="U10" s="13"/>
      <c r="V10" s="13"/>
      <c r="W10" s="18"/>
      <c r="X10" s="13"/>
      <c r="Y10" s="13"/>
      <c r="Z10" s="17"/>
    </row>
    <row r="11" spans="2:8" ht="12.75">
      <c r="B11" t="s">
        <v>291</v>
      </c>
      <c r="H11" s="1"/>
    </row>
    <row r="12" spans="2:8" ht="12.75">
      <c r="B12" t="s">
        <v>105</v>
      </c>
      <c r="H12" s="1"/>
    </row>
    <row r="14" spans="2:26" ht="12.75">
      <c r="B14" s="49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5"/>
    </row>
    <row r="15" spans="2:26" ht="12.75">
      <c r="B15" s="45" t="s">
        <v>6</v>
      </c>
      <c r="C15" s="12" t="s">
        <v>12</v>
      </c>
      <c r="D15" s="12"/>
      <c r="E15" s="12"/>
      <c r="F15" s="12"/>
      <c r="G15" s="12" t="s">
        <v>22</v>
      </c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"/>
    </row>
    <row r="16" spans="2:26" ht="12.75">
      <c r="B16" s="19" t="s">
        <v>7</v>
      </c>
      <c r="C16" s="12" t="s">
        <v>23</v>
      </c>
      <c r="D16" s="12"/>
      <c r="E16" s="12"/>
      <c r="F16" s="12"/>
      <c r="G16" s="12"/>
      <c r="H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"/>
    </row>
    <row r="17" spans="2:26" ht="12.75">
      <c r="B17" s="6"/>
      <c r="C17" s="12" t="s">
        <v>20</v>
      </c>
      <c r="D17" s="12"/>
      <c r="E17" s="12"/>
      <c r="F17" s="12"/>
      <c r="G17" s="12" t="s">
        <v>21</v>
      </c>
      <c r="H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"/>
    </row>
    <row r="18" spans="2:26" ht="12.75">
      <c r="B18" s="47" t="s">
        <v>8</v>
      </c>
      <c r="C18" s="12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"/>
    </row>
    <row r="19" spans="2:26" ht="12.75">
      <c r="B19" s="19" t="s">
        <v>9</v>
      </c>
      <c r="C19" s="12" t="s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"/>
    </row>
    <row r="20" spans="2:26" ht="12.75">
      <c r="B20" s="48" t="s">
        <v>10</v>
      </c>
      <c r="C20" s="13" t="s">
        <v>15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7"/>
    </row>
    <row r="22" spans="2:26" ht="12.75">
      <c r="B22" s="49" t="s">
        <v>24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5"/>
    </row>
    <row r="23" spans="2:26" ht="12.75">
      <c r="B23" s="45" t="s">
        <v>6</v>
      </c>
      <c r="C23" s="12" t="s">
        <v>25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"/>
    </row>
    <row r="24" spans="2:26" ht="12.75">
      <c r="B24" s="19" t="s">
        <v>7</v>
      </c>
      <c r="C24" s="12" t="s">
        <v>26</v>
      </c>
      <c r="D24" s="12"/>
      <c r="E24" s="12"/>
      <c r="F24" s="12"/>
      <c r="G24" s="12" t="s">
        <v>107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"/>
    </row>
    <row r="25" spans="2:26" ht="12.75">
      <c r="B25" s="50"/>
      <c r="C25" s="12" t="s">
        <v>27</v>
      </c>
      <c r="D25" s="12"/>
      <c r="E25" s="12"/>
      <c r="F25" s="12"/>
      <c r="G25" s="12" t="s">
        <v>32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"/>
    </row>
    <row r="26" spans="2:26" ht="12.75">
      <c r="B26" s="19" t="s">
        <v>8</v>
      </c>
      <c r="C26" s="12" t="s">
        <v>28</v>
      </c>
      <c r="D26" s="12"/>
      <c r="E26" s="12"/>
      <c r="F26" s="12"/>
      <c r="G26" s="12" t="s">
        <v>33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"/>
    </row>
    <row r="27" spans="2:26" ht="12.75">
      <c r="B27" s="6"/>
      <c r="C27" s="12" t="s">
        <v>29</v>
      </c>
      <c r="D27" s="12"/>
      <c r="E27" s="12"/>
      <c r="F27" s="12"/>
      <c r="G27" s="12" t="s">
        <v>81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"/>
    </row>
    <row r="28" spans="2:26" ht="12.75">
      <c r="B28" s="46" t="s">
        <v>9</v>
      </c>
      <c r="C28" s="12" t="s">
        <v>30</v>
      </c>
      <c r="D28" s="12"/>
      <c r="E28" s="12"/>
      <c r="F28" s="12"/>
      <c r="G28" s="12" t="s">
        <v>34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"/>
    </row>
    <row r="29" spans="2:26" ht="12.75">
      <c r="B29" s="48" t="s">
        <v>10</v>
      </c>
      <c r="C29" s="13" t="s">
        <v>31</v>
      </c>
      <c r="D29" s="13"/>
      <c r="E29" s="13"/>
      <c r="F29" s="13"/>
      <c r="G29" s="13" t="s">
        <v>35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7"/>
    </row>
    <row r="31" spans="2:26" ht="12.75">
      <c r="B31" s="14" t="s">
        <v>36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2:26" ht="12.75">
      <c r="B32" s="46" t="s">
        <v>6</v>
      </c>
      <c r="C32" s="12" t="s">
        <v>37</v>
      </c>
      <c r="D32" s="12"/>
      <c r="E32" s="12"/>
      <c r="F32" s="12"/>
      <c r="G32" s="12" t="s">
        <v>44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"/>
    </row>
    <row r="33" spans="2:26" ht="12.75">
      <c r="B33" s="6"/>
      <c r="C33" s="12" t="s">
        <v>38</v>
      </c>
      <c r="D33" s="12"/>
      <c r="E33" s="12"/>
      <c r="F33" s="12"/>
      <c r="G33" s="12" t="s">
        <v>45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2"/>
    </row>
    <row r="34" spans="2:26" ht="12.75">
      <c r="B34" s="47" t="s">
        <v>7</v>
      </c>
      <c r="C34" s="12" t="s">
        <v>39</v>
      </c>
      <c r="D34" s="12"/>
      <c r="E34" s="12"/>
      <c r="F34" s="12"/>
      <c r="G34" s="12" t="s">
        <v>46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"/>
    </row>
    <row r="35" spans="2:26" ht="12.75">
      <c r="B35" s="19" t="s">
        <v>8</v>
      </c>
      <c r="C35" s="12" t="s">
        <v>40</v>
      </c>
      <c r="D35" s="12"/>
      <c r="E35" s="12"/>
      <c r="F35" s="12"/>
      <c r="G35" s="12" t="s">
        <v>47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"/>
    </row>
    <row r="36" spans="2:26" ht="12.75">
      <c r="B36" s="50"/>
      <c r="C36" s="12" t="s">
        <v>41</v>
      </c>
      <c r="D36" s="12"/>
      <c r="E36" s="12"/>
      <c r="F36" s="12"/>
      <c r="G36" s="12" t="s">
        <v>325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"/>
    </row>
    <row r="37" spans="2:26" ht="12.75">
      <c r="B37" s="19" t="s">
        <v>9</v>
      </c>
      <c r="C37" s="12" t="s">
        <v>42</v>
      </c>
      <c r="D37" s="12"/>
      <c r="E37" s="12"/>
      <c r="F37" s="12"/>
      <c r="G37" s="12" t="s">
        <v>49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"/>
    </row>
    <row r="38" spans="2:26" ht="12.75">
      <c r="B38" s="50"/>
      <c r="C38" s="12"/>
      <c r="D38" s="12"/>
      <c r="E38" s="12"/>
      <c r="F38" s="12"/>
      <c r="G38" s="12" t="s">
        <v>50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"/>
    </row>
    <row r="39" spans="2:26" ht="12.75">
      <c r="B39" s="20" t="s">
        <v>10</v>
      </c>
      <c r="C39" s="13" t="s">
        <v>43</v>
      </c>
      <c r="D39" s="13"/>
      <c r="E39" s="13"/>
      <c r="F39" s="13"/>
      <c r="G39" s="13" t="s">
        <v>48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7"/>
    </row>
    <row r="40" ht="12.75">
      <c r="K40" s="21"/>
    </row>
    <row r="41" spans="2:26" ht="12.75">
      <c r="B41" s="49" t="s">
        <v>55</v>
      </c>
      <c r="C41" s="11"/>
      <c r="D41" s="11"/>
      <c r="E41" s="11"/>
      <c r="F41" s="11"/>
      <c r="G41" s="11"/>
      <c r="H41" s="11"/>
      <c r="I41" s="11"/>
      <c r="J41" s="11"/>
      <c r="L41" s="11"/>
      <c r="M41" s="15"/>
      <c r="N41" s="12"/>
      <c r="O41" s="14" t="s">
        <v>88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5"/>
    </row>
    <row r="42" spans="2:26" ht="12.75">
      <c r="B42" s="19" t="s">
        <v>6</v>
      </c>
      <c r="C42" s="12" t="s">
        <v>51</v>
      </c>
      <c r="D42" s="12"/>
      <c r="E42" s="12"/>
      <c r="F42" s="12"/>
      <c r="G42" s="12"/>
      <c r="H42" s="12"/>
      <c r="I42" s="12"/>
      <c r="J42" s="12"/>
      <c r="L42" s="12"/>
      <c r="M42" s="2"/>
      <c r="N42" s="12"/>
      <c r="O42" s="6" t="s">
        <v>90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"/>
    </row>
    <row r="43" spans="2:26" ht="12.75">
      <c r="B43" s="47" t="s">
        <v>7</v>
      </c>
      <c r="C43" s="12" t="s">
        <v>23</v>
      </c>
      <c r="D43" s="12"/>
      <c r="E43" s="12"/>
      <c r="F43" s="12"/>
      <c r="G43" s="12"/>
      <c r="H43" s="12"/>
      <c r="I43" s="12"/>
      <c r="J43" s="12"/>
      <c r="L43" s="12"/>
      <c r="M43" s="2"/>
      <c r="N43" s="12"/>
      <c r="O43" s="6" t="s">
        <v>91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2"/>
    </row>
    <row r="44" spans="2:26" ht="12.75">
      <c r="B44" s="19" t="s">
        <v>8</v>
      </c>
      <c r="C44" s="12" t="s">
        <v>52</v>
      </c>
      <c r="D44" s="12"/>
      <c r="E44" s="12"/>
      <c r="F44" s="12"/>
      <c r="G44" s="12"/>
      <c r="H44" s="12"/>
      <c r="I44" s="12"/>
      <c r="J44" s="12"/>
      <c r="L44" s="12"/>
      <c r="M44" s="2"/>
      <c r="N44" s="12"/>
      <c r="O44" s="6" t="s">
        <v>89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"/>
    </row>
    <row r="45" spans="2:26" ht="12.75">
      <c r="B45" s="46" t="s">
        <v>9</v>
      </c>
      <c r="C45" s="12" t="s">
        <v>53</v>
      </c>
      <c r="D45" s="12"/>
      <c r="E45" s="12"/>
      <c r="F45" s="12"/>
      <c r="G45" s="12"/>
      <c r="H45" s="12"/>
      <c r="I45" s="12"/>
      <c r="J45" s="12"/>
      <c r="L45" s="12"/>
      <c r="M45" s="2"/>
      <c r="N45" s="12"/>
      <c r="O45" s="6" t="s">
        <v>92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"/>
    </row>
    <row r="46" spans="2:26" ht="12.75">
      <c r="B46" s="48" t="s">
        <v>10</v>
      </c>
      <c r="C46" s="13" t="s">
        <v>54</v>
      </c>
      <c r="D46" s="13"/>
      <c r="E46" s="13"/>
      <c r="F46" s="13"/>
      <c r="G46" s="13"/>
      <c r="H46" s="13"/>
      <c r="I46" s="13"/>
      <c r="J46" s="13"/>
      <c r="L46" s="13"/>
      <c r="M46" s="17"/>
      <c r="N46" s="41"/>
      <c r="O46" s="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7"/>
    </row>
    <row r="47" spans="2:25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3"/>
      <c r="M47" s="13"/>
      <c r="N47" s="13"/>
      <c r="O47" s="21"/>
      <c r="P47" s="21"/>
      <c r="Q47" s="21"/>
      <c r="R47" s="21"/>
      <c r="S47" s="11"/>
      <c r="T47" s="11"/>
      <c r="U47" s="11"/>
      <c r="V47" s="11"/>
      <c r="W47" s="11"/>
      <c r="X47" s="11"/>
      <c r="Y47" s="11"/>
    </row>
    <row r="48" spans="1:26" ht="12.75">
      <c r="A48" s="2"/>
      <c r="B48" s="22" t="s">
        <v>56</v>
      </c>
      <c r="C48" s="12"/>
      <c r="D48" s="12"/>
      <c r="E48" s="12"/>
      <c r="F48" s="15"/>
      <c r="G48" s="214" t="s">
        <v>83</v>
      </c>
      <c r="H48" s="215"/>
      <c r="I48" s="215"/>
      <c r="J48" s="215"/>
      <c r="K48" s="215"/>
      <c r="L48" s="216"/>
      <c r="M48" s="214" t="s">
        <v>85</v>
      </c>
      <c r="N48" s="215"/>
      <c r="O48" s="215"/>
      <c r="P48" s="215"/>
      <c r="Q48" s="215"/>
      <c r="R48" s="216"/>
      <c r="S48" s="41"/>
      <c r="T48" s="14" t="s">
        <v>93</v>
      </c>
      <c r="U48" s="11"/>
      <c r="V48" s="11"/>
      <c r="W48" s="11"/>
      <c r="X48" s="11"/>
      <c r="Y48" s="11"/>
      <c r="Z48" s="15"/>
    </row>
    <row r="49" spans="1:26" ht="12.75">
      <c r="A49" s="2"/>
      <c r="B49" s="13"/>
      <c r="C49" s="13"/>
      <c r="D49" s="13"/>
      <c r="E49" s="13"/>
      <c r="F49" s="17"/>
      <c r="G49" s="210">
        <v>0</v>
      </c>
      <c r="H49" s="211"/>
      <c r="I49" s="210">
        <v>1</v>
      </c>
      <c r="J49" s="211"/>
      <c r="K49" s="210" t="s">
        <v>84</v>
      </c>
      <c r="L49" s="211"/>
      <c r="M49" s="210">
        <v>0</v>
      </c>
      <c r="N49" s="211"/>
      <c r="O49" s="210">
        <v>1</v>
      </c>
      <c r="P49" s="211"/>
      <c r="Q49" s="210" t="s">
        <v>84</v>
      </c>
      <c r="R49" s="211"/>
      <c r="T49" s="6">
        <v>-10</v>
      </c>
      <c r="U49" s="12" t="s">
        <v>94</v>
      </c>
      <c r="V49" s="12"/>
      <c r="W49" s="12"/>
      <c r="X49" s="12"/>
      <c r="Y49" s="12"/>
      <c r="Z49" s="2"/>
    </row>
    <row r="50" spans="2:26" ht="12.75">
      <c r="B50" s="6" t="s">
        <v>57</v>
      </c>
      <c r="C50" s="12"/>
      <c r="D50" s="12"/>
      <c r="E50" s="12"/>
      <c r="F50" s="2"/>
      <c r="G50" s="212">
        <v>10</v>
      </c>
      <c r="H50" s="213"/>
      <c r="I50" s="212">
        <v>1</v>
      </c>
      <c r="J50" s="213"/>
      <c r="K50" s="212" t="s">
        <v>84</v>
      </c>
      <c r="L50" s="213"/>
      <c r="M50" s="212"/>
      <c r="N50" s="213"/>
      <c r="O50" s="212"/>
      <c r="P50" s="213"/>
      <c r="Q50" s="212"/>
      <c r="R50" s="213"/>
      <c r="T50" s="6">
        <v>-8</v>
      </c>
      <c r="U50" s="12" t="s">
        <v>95</v>
      </c>
      <c r="V50" s="12"/>
      <c r="W50" s="12"/>
      <c r="X50" s="12"/>
      <c r="Y50" s="12"/>
      <c r="Z50" s="2"/>
    </row>
    <row r="51" spans="2:26" ht="12.75">
      <c r="B51" s="6" t="s">
        <v>58</v>
      </c>
      <c r="C51" s="12"/>
      <c r="D51" s="12"/>
      <c r="E51" s="12"/>
      <c r="F51" s="2"/>
      <c r="G51" s="206" t="s">
        <v>60</v>
      </c>
      <c r="H51" s="207"/>
      <c r="I51" s="206" t="s">
        <v>59</v>
      </c>
      <c r="J51" s="207"/>
      <c r="K51" s="206" t="s">
        <v>84</v>
      </c>
      <c r="L51" s="207"/>
      <c r="M51" s="206">
        <v>10</v>
      </c>
      <c r="N51" s="207"/>
      <c r="O51" s="206" t="s">
        <v>59</v>
      </c>
      <c r="P51" s="207"/>
      <c r="Q51" s="206" t="s">
        <v>84</v>
      </c>
      <c r="R51" s="207"/>
      <c r="T51" s="6">
        <v>-5</v>
      </c>
      <c r="U51" s="12" t="s">
        <v>96</v>
      </c>
      <c r="V51" s="12"/>
      <c r="W51" s="12"/>
      <c r="X51" s="12"/>
      <c r="Y51" s="12"/>
      <c r="Z51" s="2"/>
    </row>
    <row r="52" spans="2:26" ht="12.75">
      <c r="B52" s="8" t="s">
        <v>82</v>
      </c>
      <c r="C52" s="13"/>
      <c r="D52" s="13"/>
      <c r="E52" s="13"/>
      <c r="F52" s="17"/>
      <c r="G52" s="208">
        <v>0</v>
      </c>
      <c r="H52" s="209"/>
      <c r="I52" s="208" t="s">
        <v>59</v>
      </c>
      <c r="J52" s="209"/>
      <c r="K52" s="208" t="s">
        <v>84</v>
      </c>
      <c r="L52" s="209"/>
      <c r="M52" s="208">
        <v>10</v>
      </c>
      <c r="N52" s="209"/>
      <c r="O52" s="208" t="s">
        <v>59</v>
      </c>
      <c r="P52" s="209"/>
      <c r="Q52" s="208" t="s">
        <v>84</v>
      </c>
      <c r="R52" s="209"/>
      <c r="T52" s="6">
        <v>-3</v>
      </c>
      <c r="U52" s="12" t="s">
        <v>97</v>
      </c>
      <c r="V52" s="12"/>
      <c r="W52" s="12"/>
      <c r="X52" s="12"/>
      <c r="Y52" s="12"/>
      <c r="Z52" s="2"/>
    </row>
    <row r="53" spans="12:26" ht="12.75">
      <c r="L53" s="23"/>
      <c r="M53" s="23"/>
      <c r="N53" s="23"/>
      <c r="O53" s="24"/>
      <c r="P53" s="23"/>
      <c r="Q53" s="23"/>
      <c r="R53" s="23"/>
      <c r="S53" s="23"/>
      <c r="T53" s="6">
        <v>-2</v>
      </c>
      <c r="U53" s="12" t="s">
        <v>327</v>
      </c>
      <c r="V53" s="12"/>
      <c r="W53" s="12"/>
      <c r="X53" s="12"/>
      <c r="Y53" s="12"/>
      <c r="Z53" s="2"/>
    </row>
    <row r="54" spans="2:26" ht="12.75">
      <c r="B54" s="14" t="s">
        <v>61</v>
      </c>
      <c r="C54" s="11"/>
      <c r="D54" s="11"/>
      <c r="E54" s="11"/>
      <c r="F54" s="15"/>
      <c r="G54" s="14" t="s">
        <v>67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5"/>
      <c r="T54" s="6">
        <v>-1</v>
      </c>
      <c r="U54" s="12" t="s">
        <v>98</v>
      </c>
      <c r="V54" s="12"/>
      <c r="W54" s="12"/>
      <c r="X54" s="12"/>
      <c r="Y54" s="12"/>
      <c r="Z54" s="2"/>
    </row>
    <row r="55" spans="2:26" ht="12.75">
      <c r="B55" s="8"/>
      <c r="C55" s="13"/>
      <c r="D55" s="13"/>
      <c r="E55" s="13"/>
      <c r="F55" s="17"/>
      <c r="G55" s="8"/>
      <c r="H55" s="13"/>
      <c r="I55" s="30" t="s">
        <v>63</v>
      </c>
      <c r="J55" s="31"/>
      <c r="K55" s="28"/>
      <c r="L55" s="31" t="s">
        <v>64</v>
      </c>
      <c r="M55" s="31"/>
      <c r="N55" s="28"/>
      <c r="O55" s="31" t="s">
        <v>65</v>
      </c>
      <c r="P55" s="31"/>
      <c r="Q55" s="28"/>
      <c r="R55" s="32" t="s">
        <v>66</v>
      </c>
      <c r="T55" s="6">
        <v>0</v>
      </c>
      <c r="U55" s="12" t="s">
        <v>99</v>
      </c>
      <c r="V55" s="12"/>
      <c r="W55" s="12"/>
      <c r="X55" s="12"/>
      <c r="Y55" s="12"/>
      <c r="Z55" s="2"/>
    </row>
    <row r="56" spans="2:26" ht="12.75">
      <c r="B56" s="25" t="s">
        <v>62</v>
      </c>
      <c r="C56" s="12"/>
      <c r="D56" s="22" t="s">
        <v>63</v>
      </c>
      <c r="E56" s="12"/>
      <c r="F56" s="2"/>
      <c r="G56" s="6"/>
      <c r="H56" s="12"/>
      <c r="I56" s="33" t="s">
        <v>68</v>
      </c>
      <c r="J56" s="34"/>
      <c r="K56" s="29"/>
      <c r="L56" s="29" t="s">
        <v>72</v>
      </c>
      <c r="M56" s="29"/>
      <c r="N56" s="29"/>
      <c r="O56" s="34" t="s">
        <v>69</v>
      </c>
      <c r="P56" s="34"/>
      <c r="Q56" s="29"/>
      <c r="R56" s="35" t="s">
        <v>71</v>
      </c>
      <c r="T56" s="43">
        <v>1</v>
      </c>
      <c r="U56" s="12" t="s">
        <v>326</v>
      </c>
      <c r="V56" s="12"/>
      <c r="W56" s="12"/>
      <c r="X56" s="12"/>
      <c r="Y56" s="12"/>
      <c r="Z56" s="2"/>
    </row>
    <row r="57" spans="2:26" ht="12.75">
      <c r="B57" s="6"/>
      <c r="C57" s="12"/>
      <c r="D57" s="22" t="s">
        <v>64</v>
      </c>
      <c r="E57" s="12"/>
      <c r="F57" s="2"/>
      <c r="G57" s="6"/>
      <c r="H57" s="12"/>
      <c r="I57" s="33" t="s">
        <v>70</v>
      </c>
      <c r="J57" s="34"/>
      <c r="K57" s="29"/>
      <c r="L57" s="34" t="s">
        <v>68</v>
      </c>
      <c r="M57" s="34"/>
      <c r="N57" s="29"/>
      <c r="O57" s="34" t="s">
        <v>74</v>
      </c>
      <c r="P57" s="34"/>
      <c r="Q57" s="29"/>
      <c r="R57" s="35" t="s">
        <v>75</v>
      </c>
      <c r="T57" s="43">
        <v>2</v>
      </c>
      <c r="U57" s="12" t="s">
        <v>100</v>
      </c>
      <c r="V57" s="12"/>
      <c r="W57" s="12"/>
      <c r="X57" s="12"/>
      <c r="Y57" s="12"/>
      <c r="Z57" s="2"/>
    </row>
    <row r="58" spans="2:26" ht="12.75">
      <c r="B58" s="6"/>
      <c r="C58" s="12"/>
      <c r="D58" s="22" t="s">
        <v>65</v>
      </c>
      <c r="E58" s="12"/>
      <c r="F58" s="2"/>
      <c r="G58" s="6"/>
      <c r="H58" s="12"/>
      <c r="I58" s="33" t="s">
        <v>76</v>
      </c>
      <c r="J58" s="34"/>
      <c r="K58" s="29"/>
      <c r="L58" s="29" t="s">
        <v>72</v>
      </c>
      <c r="M58" s="29"/>
      <c r="N58" s="29"/>
      <c r="O58" s="34" t="s">
        <v>68</v>
      </c>
      <c r="P58" s="34"/>
      <c r="Q58" s="29"/>
      <c r="R58" s="35" t="s">
        <v>71</v>
      </c>
      <c r="T58" s="43">
        <v>3</v>
      </c>
      <c r="U58" s="12" t="s">
        <v>101</v>
      </c>
      <c r="V58" s="12"/>
      <c r="W58" s="12"/>
      <c r="X58" s="12"/>
      <c r="Y58" s="12"/>
      <c r="Z58" s="2"/>
    </row>
    <row r="59" spans="2:26" ht="12.75">
      <c r="B59" s="8"/>
      <c r="C59" s="13"/>
      <c r="D59" s="26" t="s">
        <v>66</v>
      </c>
      <c r="E59" s="13"/>
      <c r="F59" s="17"/>
      <c r="G59" s="8"/>
      <c r="H59" s="13"/>
      <c r="I59" s="36" t="s">
        <v>71</v>
      </c>
      <c r="J59" s="37"/>
      <c r="K59" s="28"/>
      <c r="L59" s="28" t="s">
        <v>72</v>
      </c>
      <c r="M59" s="28"/>
      <c r="N59" s="28"/>
      <c r="O59" s="37" t="s">
        <v>73</v>
      </c>
      <c r="P59" s="37"/>
      <c r="Q59" s="28"/>
      <c r="R59" s="38" t="s">
        <v>68</v>
      </c>
      <c r="T59" s="43">
        <v>4</v>
      </c>
      <c r="U59" s="12" t="s">
        <v>102</v>
      </c>
      <c r="V59" s="12"/>
      <c r="W59" s="12"/>
      <c r="X59" s="12"/>
      <c r="Y59" s="12"/>
      <c r="Z59" s="2"/>
    </row>
    <row r="60" spans="20:26" ht="12.75">
      <c r="T60" s="44">
        <v>7</v>
      </c>
      <c r="U60" s="13" t="s">
        <v>103</v>
      </c>
      <c r="V60" s="13"/>
      <c r="W60" s="13"/>
      <c r="X60" s="13"/>
      <c r="Y60" s="13"/>
      <c r="Z60" s="17"/>
    </row>
    <row r="61" spans="2:23" ht="12.75">
      <c r="B61" s="27" t="s">
        <v>106</v>
      </c>
      <c r="W61" s="42"/>
    </row>
    <row r="62" spans="22:23" ht="12.75">
      <c r="V62" s="12"/>
      <c r="W62" s="42"/>
    </row>
  </sheetData>
  <sheetProtection/>
  <mergeCells count="26">
    <mergeCell ref="M48:R48"/>
    <mergeCell ref="G48:L48"/>
    <mergeCell ref="G49:H49"/>
    <mergeCell ref="G50:H50"/>
    <mergeCell ref="M49:N49"/>
    <mergeCell ref="M50:N50"/>
    <mergeCell ref="Q49:R49"/>
    <mergeCell ref="Q50:R50"/>
    <mergeCell ref="O49:P49"/>
    <mergeCell ref="O50:P50"/>
    <mergeCell ref="I49:J49"/>
    <mergeCell ref="I50:J50"/>
    <mergeCell ref="I51:J51"/>
    <mergeCell ref="I52:J52"/>
    <mergeCell ref="K49:L49"/>
    <mergeCell ref="K50:L50"/>
    <mergeCell ref="K51:L51"/>
    <mergeCell ref="K52:L52"/>
    <mergeCell ref="Q51:R51"/>
    <mergeCell ref="Q52:R52"/>
    <mergeCell ref="G51:H51"/>
    <mergeCell ref="G52:H52"/>
    <mergeCell ref="M51:N51"/>
    <mergeCell ref="M52:N52"/>
    <mergeCell ref="O51:P51"/>
    <mergeCell ref="O52:P5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9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.8515625" style="77" customWidth="1"/>
    <col min="2" max="2" width="2.8515625" style="64" customWidth="1"/>
    <col min="3" max="3" width="26.7109375" style="64" bestFit="1" customWidth="1"/>
    <col min="4" max="7" width="8.57421875" style="64" customWidth="1"/>
    <col min="8" max="10" width="7.140625" style="64" customWidth="1"/>
    <col min="11" max="11" width="2.8515625" style="64" customWidth="1"/>
    <col min="12" max="12" width="7.140625" style="64" customWidth="1"/>
    <col min="13" max="13" width="2.8515625" style="64" customWidth="1"/>
    <col min="14" max="14" width="0.5625" style="131" customWidth="1"/>
    <col min="15" max="15" width="2.8515625" style="64" customWidth="1"/>
    <col min="16" max="17" width="7.140625" style="64" customWidth="1"/>
    <col min="18" max="18" width="2.8515625" style="64" customWidth="1"/>
    <col min="19" max="19" width="0.5625" style="131" customWidth="1"/>
    <col min="20" max="16384" width="11.421875" style="64" customWidth="1"/>
  </cols>
  <sheetData>
    <row r="1" spans="1:12" ht="12.75">
      <c r="A1" s="15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.75">
      <c r="A2" s="15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.75">
      <c r="A3" s="153"/>
      <c r="B3" s="71"/>
      <c r="C3" s="72" t="s">
        <v>217</v>
      </c>
      <c r="D3" s="155" t="s">
        <v>220</v>
      </c>
      <c r="E3" s="72"/>
      <c r="F3" s="72"/>
      <c r="G3" s="72"/>
      <c r="H3" s="72"/>
      <c r="I3" s="72"/>
      <c r="J3" s="72"/>
      <c r="K3" s="72"/>
      <c r="L3" s="72"/>
    </row>
    <row r="4" spans="1:12" ht="12.75">
      <c r="A4" s="153"/>
      <c r="B4" s="73"/>
      <c r="C4" s="72" t="s">
        <v>278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2.75">
      <c r="A5" s="153"/>
      <c r="B5" s="74"/>
      <c r="C5" s="72" t="s">
        <v>228</v>
      </c>
      <c r="D5" s="72"/>
      <c r="E5" s="72"/>
      <c r="F5" s="72"/>
      <c r="G5" s="72"/>
      <c r="H5" s="72"/>
      <c r="I5" s="72"/>
      <c r="J5" s="72"/>
      <c r="K5" s="72"/>
      <c r="L5" s="72"/>
    </row>
    <row r="6" spans="1:12" ht="12.75">
      <c r="A6" s="153"/>
      <c r="B6" s="114"/>
      <c r="C6" s="115" t="s">
        <v>237</v>
      </c>
      <c r="D6" s="72"/>
      <c r="E6" s="72"/>
      <c r="F6" s="72"/>
      <c r="G6" s="72"/>
      <c r="H6" s="72"/>
      <c r="I6" s="72"/>
      <c r="J6" s="72"/>
      <c r="K6" s="72"/>
      <c r="L6" s="72"/>
    </row>
    <row r="7" spans="1:12" ht="12.75">
      <c r="A7" s="153"/>
      <c r="B7" s="113"/>
      <c r="C7" s="115" t="s">
        <v>277</v>
      </c>
      <c r="D7" s="72"/>
      <c r="E7" s="72"/>
      <c r="F7" s="72"/>
      <c r="G7" s="72"/>
      <c r="H7" s="72"/>
      <c r="I7" s="72"/>
      <c r="J7" s="72"/>
      <c r="K7" s="72"/>
      <c r="L7" s="72"/>
    </row>
    <row r="8" spans="1:12" ht="12.75">
      <c r="A8" s="153"/>
      <c r="B8" s="75" t="s">
        <v>218</v>
      </c>
      <c r="C8" s="76" t="s">
        <v>219</v>
      </c>
      <c r="D8" s="72"/>
      <c r="E8" s="72"/>
      <c r="F8" s="72"/>
      <c r="G8" s="72"/>
      <c r="H8" s="72"/>
      <c r="I8" s="72"/>
      <c r="J8" s="72"/>
      <c r="K8" s="72"/>
      <c r="L8" s="72"/>
    </row>
    <row r="9" spans="1:12" ht="12.75">
      <c r="A9" s="153"/>
      <c r="B9" s="156" t="s">
        <v>284</v>
      </c>
      <c r="C9" s="115" t="s">
        <v>292</v>
      </c>
      <c r="D9" s="72"/>
      <c r="E9" s="72"/>
      <c r="F9" s="72"/>
      <c r="G9" s="72"/>
      <c r="H9" s="72"/>
      <c r="I9" s="72"/>
      <c r="J9" s="72"/>
      <c r="K9" s="72"/>
      <c r="L9" s="72"/>
    </row>
    <row r="10" spans="1:12" ht="12.75">
      <c r="A10" s="153"/>
      <c r="B10" s="153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3" ht="3" customHeight="1">
      <c r="A11" s="154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ht="12.75"/>
    <row r="13" spans="1:4" ht="12.75">
      <c r="A13" s="77">
        <v>1</v>
      </c>
      <c r="B13" s="78" t="s">
        <v>205</v>
      </c>
      <c r="D13" s="133" t="str">
        <f>CONCATENATE(H17," ",H18," ",H20," ",H22)</f>
        <v>- - - -</v>
      </c>
    </row>
    <row r="14" spans="2:12" ht="46.5" customHeight="1">
      <c r="B14" s="78"/>
      <c r="C14" s="217"/>
      <c r="D14" s="218"/>
      <c r="E14" s="218"/>
      <c r="F14" s="218"/>
      <c r="G14" s="218"/>
      <c r="H14" s="218"/>
      <c r="I14" s="218"/>
      <c r="J14" s="218"/>
      <c r="K14" s="218"/>
      <c r="L14" s="219"/>
    </row>
    <row r="15" ht="12.75">
      <c r="B15" s="78"/>
    </row>
    <row r="16" spans="1:6" ht="12.75">
      <c r="A16" s="102"/>
      <c r="B16" s="78"/>
      <c r="D16" s="104"/>
      <c r="F16" s="69" t="s">
        <v>227</v>
      </c>
    </row>
    <row r="17" spans="1:17" ht="12.75">
      <c r="A17" s="102"/>
      <c r="C17" s="105" t="s">
        <v>266</v>
      </c>
      <c r="D17" s="104"/>
      <c r="F17" s="63"/>
      <c r="G17" s="100" t="str">
        <f>IF(MAGUS,"Yes","No")</f>
        <v>No</v>
      </c>
      <c r="H17" s="136" t="str">
        <f>IF(AND(MAGUS,COMPA),"You can't be both a Magus and a Compagnon.","-")</f>
        <v>-</v>
      </c>
      <c r="P17" s="64" t="s">
        <v>265</v>
      </c>
      <c r="Q17" s="134" t="b">
        <f>IF(F17="Y",TRUE,FALSE)</f>
        <v>0</v>
      </c>
    </row>
    <row r="18" spans="1:17" ht="12.75">
      <c r="A18" s="102"/>
      <c r="C18" s="105" t="s">
        <v>258</v>
      </c>
      <c r="D18" s="104"/>
      <c r="F18" s="63"/>
      <c r="G18" s="100" t="str">
        <f>IF(COMPA,"Yes","No")</f>
        <v>No</v>
      </c>
      <c r="H18" s="136" t="str">
        <f>IF(AND(NOT(COMPA),OR(WEALTHY,POOR)),"Only companions can have the Wealthy virtue or Poor flaw.","-")</f>
        <v>-</v>
      </c>
      <c r="P18" s="64" t="s">
        <v>259</v>
      </c>
      <c r="Q18" s="134" t="b">
        <f>IF(F18="Y",TRUE,FALSE)</f>
        <v>0</v>
      </c>
    </row>
    <row r="19" spans="1:17" ht="12.75">
      <c r="A19" s="102"/>
      <c r="C19" s="105" t="s">
        <v>260</v>
      </c>
      <c r="D19" s="104"/>
      <c r="F19" s="95"/>
      <c r="G19" s="100" t="str">
        <f>IF(GROG,"Yes","No")</f>
        <v>Yes</v>
      </c>
      <c r="H19" s="136"/>
      <c r="P19" s="64" t="s">
        <v>261</v>
      </c>
      <c r="Q19" s="134" t="b">
        <f>IF(OR(MAGUS,COMPA),FALSE,TRUE)</f>
        <v>1</v>
      </c>
    </row>
    <row r="20" spans="1:17" ht="12.75">
      <c r="A20" s="102"/>
      <c r="C20" s="105" t="s">
        <v>225</v>
      </c>
      <c r="D20" s="104"/>
      <c r="F20" s="63"/>
      <c r="G20" s="100" t="str">
        <f>IF(WEALTHY,"Yes","No")</f>
        <v>No</v>
      </c>
      <c r="H20" s="103" t="str">
        <f>IF(AND(WEALTHY,POOR),"You can't have both the Wealthy virtue and Poor flaw.","-")</f>
        <v>-</v>
      </c>
      <c r="P20" s="64" t="s">
        <v>244</v>
      </c>
      <c r="Q20" s="134" t="b">
        <f>IF(F20="Y",TRUE,FALSE)</f>
        <v>0</v>
      </c>
    </row>
    <row r="21" spans="1:17" ht="12.75">
      <c r="A21" s="102"/>
      <c r="C21" s="105" t="s">
        <v>226</v>
      </c>
      <c r="D21" s="104"/>
      <c r="F21" s="63"/>
      <c r="G21" s="100" t="str">
        <f>IF(POOR,"Yes","No")</f>
        <v>No</v>
      </c>
      <c r="P21" s="64" t="s">
        <v>245</v>
      </c>
      <c r="Q21" s="134" t="b">
        <f>IF(F21="Y",TRUE,FALSE)</f>
        <v>0</v>
      </c>
    </row>
    <row r="22" spans="1:17" ht="12.75">
      <c r="A22" s="102"/>
      <c r="C22" s="105" t="s">
        <v>286</v>
      </c>
      <c r="D22" s="104"/>
      <c r="F22" s="63"/>
      <c r="G22" s="100" t="str">
        <f>IF(SKILLP,"Yes","No")</f>
        <v>No</v>
      </c>
      <c r="H22" s="136" t="str">
        <f>IF(AND(SKILLP,NOT(MAGUS)),"Only magus can have the Skilled parens virtue.","-")</f>
        <v>-</v>
      </c>
      <c r="P22" s="64" t="s">
        <v>287</v>
      </c>
      <c r="Q22" s="134" t="b">
        <f>IF(F22="Y",TRUE,FALSE)</f>
        <v>0</v>
      </c>
    </row>
    <row r="23" spans="1:5" ht="12.75">
      <c r="A23" s="102"/>
      <c r="B23" s="105"/>
      <c r="D23" s="104"/>
      <c r="E23" s="95"/>
    </row>
    <row r="24" ht="12.75">
      <c r="B24" s="78"/>
    </row>
    <row r="25" spans="1:5" ht="12.75">
      <c r="A25" s="77">
        <v>2</v>
      </c>
      <c r="B25" s="78" t="s">
        <v>208</v>
      </c>
      <c r="D25" s="220"/>
      <c r="E25" s="221"/>
    </row>
    <row r="26" ht="12.75"/>
    <row r="27" ht="12.75"/>
    <row r="28" spans="1:4" ht="12.75">
      <c r="A28" s="77">
        <v>3</v>
      </c>
      <c r="B28" s="65" t="s">
        <v>209</v>
      </c>
      <c r="D28" s="133" t="str">
        <f>CONCATENATE(F31," ",F32)</f>
        <v>- -</v>
      </c>
    </row>
    <row r="29" spans="2:5" ht="12.75">
      <c r="B29" s="65"/>
      <c r="D29" s="77" t="s">
        <v>262</v>
      </c>
      <c r="E29" s="77" t="s">
        <v>263</v>
      </c>
    </row>
    <row r="30" spans="2:5" ht="12.75">
      <c r="B30" s="65"/>
      <c r="D30" s="150" t="s">
        <v>211</v>
      </c>
      <c r="E30" s="150" t="s">
        <v>211</v>
      </c>
    </row>
    <row r="31" spans="2:6" ht="12.75">
      <c r="B31" s="65"/>
      <c r="C31" s="65" t="s">
        <v>257</v>
      </c>
      <c r="D31" s="79">
        <f>IF(GROG,3,10)</f>
        <v>3</v>
      </c>
      <c r="E31" s="79">
        <f>IF(GROG,3,10)</f>
        <v>3</v>
      </c>
      <c r="F31" s="136" t="str">
        <f>IF(AND(GROG,MAX(D35:E53)&gt;1),"Grogs can't have major virtues or flaws.","-")</f>
        <v>-</v>
      </c>
    </row>
    <row r="32" spans="2:6" ht="12.75">
      <c r="B32" s="65"/>
      <c r="C32" s="65" t="s">
        <v>267</v>
      </c>
      <c r="D32" s="98">
        <f>D31-SUM(D35:D53)</f>
        <v>3</v>
      </c>
      <c r="E32" s="98">
        <f>E31-SUM(E35:E53)</f>
        <v>3</v>
      </c>
      <c r="F32" s="136" t="str">
        <f>IF(D32&lt;&gt;E32,"Your virtues and flaws must be balanced.","-")</f>
        <v>-</v>
      </c>
    </row>
    <row r="33" ht="12.75">
      <c r="B33" s="65"/>
    </row>
    <row r="34" ht="12.75">
      <c r="B34" s="65" t="s">
        <v>210</v>
      </c>
    </row>
    <row r="35" spans="3:6" ht="12.75">
      <c r="C35" s="109"/>
      <c r="D35" s="63"/>
      <c r="E35" s="69"/>
      <c r="F35" s="157"/>
    </row>
    <row r="36" spans="3:6" ht="12.75">
      <c r="C36" s="109"/>
      <c r="D36" s="63"/>
      <c r="E36" s="69"/>
      <c r="F36" s="157"/>
    </row>
    <row r="37" spans="3:5" ht="12.75">
      <c r="C37" s="109"/>
      <c r="D37" s="63"/>
      <c r="E37" s="69"/>
    </row>
    <row r="38" spans="3:6" ht="12.75">
      <c r="C38" s="109"/>
      <c r="D38" s="63"/>
      <c r="E38" s="69"/>
      <c r="F38" s="157"/>
    </row>
    <row r="39" spans="3:5" ht="12.75">
      <c r="C39" s="109"/>
      <c r="D39" s="63"/>
      <c r="E39" s="69"/>
    </row>
    <row r="40" spans="2:5" ht="12.75">
      <c r="B40" s="65" t="s">
        <v>195</v>
      </c>
      <c r="D40" s="69"/>
      <c r="E40" s="69"/>
    </row>
    <row r="41" spans="3:5" ht="12.75">
      <c r="C41" s="109"/>
      <c r="D41" s="69"/>
      <c r="E41" s="63"/>
    </row>
    <row r="42" spans="3:5" ht="12.75">
      <c r="C42" s="109"/>
      <c r="D42" s="69"/>
      <c r="E42" s="63"/>
    </row>
    <row r="43" spans="3:5" ht="12.75">
      <c r="C43" s="109"/>
      <c r="D43" s="69"/>
      <c r="E43" s="63"/>
    </row>
    <row r="44" spans="3:5" ht="12.75">
      <c r="C44" s="109"/>
      <c r="D44" s="69"/>
      <c r="E44" s="63"/>
    </row>
    <row r="45" spans="3:5" ht="12.75">
      <c r="C45" s="109"/>
      <c r="D45" s="69"/>
      <c r="E45" s="63"/>
    </row>
    <row r="46" spans="3:5" ht="12.75">
      <c r="C46" s="109"/>
      <c r="D46" s="69"/>
      <c r="E46" s="63"/>
    </row>
    <row r="47" spans="2:5" ht="12.75">
      <c r="B47" s="65" t="s">
        <v>264</v>
      </c>
      <c r="D47" s="69"/>
      <c r="E47" s="69"/>
    </row>
    <row r="48" spans="3:5" ht="12.75">
      <c r="C48" s="67" t="str">
        <f>IF(MAGUS,"The Gift","-")</f>
        <v>-</v>
      </c>
      <c r="D48" s="98">
        <v>0</v>
      </c>
      <c r="E48" s="98">
        <v>0</v>
      </c>
    </row>
    <row r="49" spans="3:5" ht="12.75">
      <c r="C49" s="67" t="str">
        <f>IF(MAGUS,"Social status: Hermetic magus","-")</f>
        <v>-</v>
      </c>
      <c r="D49" s="98">
        <v>0</v>
      </c>
      <c r="E49" s="98">
        <v>0</v>
      </c>
    </row>
    <row r="50" spans="3:6" ht="12.75">
      <c r="C50" s="108"/>
      <c r="D50" s="98">
        <f>IF(MAGUS,"(1)",0)</f>
        <v>0</v>
      </c>
      <c r="E50" s="98">
        <v>0</v>
      </c>
      <c r="F50" s="64" t="s">
        <v>283</v>
      </c>
    </row>
    <row r="51" spans="3:5" ht="12.75">
      <c r="C51" s="67" t="str">
        <f>CONCATENATE("- ",IF(WEALTHY,"Wealthy ",""),IF(POOR,"Poor",""))</f>
        <v>- </v>
      </c>
      <c r="D51" s="98">
        <f>IF(WEALTHY,3,0)</f>
        <v>0</v>
      </c>
      <c r="E51" s="98">
        <f>IF(POOR,3,0)</f>
        <v>0</v>
      </c>
    </row>
    <row r="52" spans="3:5" ht="12.75">
      <c r="C52" s="67" t="str">
        <f>IF(SKILLP,"Skilled parens","-")</f>
        <v>-</v>
      </c>
      <c r="D52" s="98">
        <f>IF(SKILLP,1,0)</f>
        <v>0</v>
      </c>
      <c r="E52" s="98">
        <v>0</v>
      </c>
    </row>
    <row r="53" spans="3:5" ht="12.75">
      <c r="C53" s="151"/>
      <c r="D53" s="137"/>
      <c r="E53" s="137"/>
    </row>
    <row r="54" ht="12.75"/>
    <row r="55" ht="12.75">
      <c r="B55" s="64" t="s">
        <v>279</v>
      </c>
    </row>
    <row r="56" ht="12.75">
      <c r="B56" s="64" t="s">
        <v>280</v>
      </c>
    </row>
    <row r="57" ht="12.75">
      <c r="B57" s="64" t="s">
        <v>281</v>
      </c>
    </row>
    <row r="58" ht="12.75">
      <c r="B58" s="64" t="s">
        <v>268</v>
      </c>
    </row>
    <row r="59" ht="12.75">
      <c r="B59" s="64" t="s">
        <v>282</v>
      </c>
    </row>
    <row r="60" ht="12.75"/>
    <row r="61" ht="12.75"/>
    <row r="62" spans="1:4" ht="12.75">
      <c r="A62" s="77">
        <v>4</v>
      </c>
      <c r="B62" s="78" t="s">
        <v>215</v>
      </c>
      <c r="D62" s="104" t="str">
        <f>CONCATENATE(H65," ",H66)</f>
        <v>You must spend all your points. -</v>
      </c>
    </row>
    <row r="63" spans="2:4" ht="12.75">
      <c r="B63" s="78"/>
      <c r="D63" s="104"/>
    </row>
    <row r="64" spans="2:7" ht="12.75">
      <c r="B64" s="65"/>
      <c r="C64" s="65" t="s">
        <v>187</v>
      </c>
      <c r="G64" s="79">
        <v>7</v>
      </c>
    </row>
    <row r="65" spans="2:8" ht="12.75">
      <c r="B65" s="65"/>
      <c r="C65" s="65" t="s">
        <v>246</v>
      </c>
      <c r="G65" s="62">
        <f>G64-SUM(G68:G75)</f>
        <v>7</v>
      </c>
      <c r="H65" s="103" t="str">
        <f>IF($G$65&lt;&gt;0,"You must spend all your points.","-")</f>
        <v>You must spend all your points.</v>
      </c>
    </row>
    <row r="66" spans="2:8" ht="12.75">
      <c r="B66" s="65"/>
      <c r="E66" s="77" t="s">
        <v>111</v>
      </c>
      <c r="F66" s="69"/>
      <c r="H66" s="103" t="str">
        <f>IF(OR(MIN($E$68:$E$75)&lt;-3,MAX($E$68:$E$75)&gt;3),"Charac. must be between -3 and +3.","-")</f>
        <v>-</v>
      </c>
    </row>
    <row r="67" spans="2:7" ht="12.75">
      <c r="B67" s="65"/>
      <c r="E67" s="69" t="s">
        <v>196</v>
      </c>
      <c r="F67" s="69"/>
      <c r="G67" s="69" t="s">
        <v>211</v>
      </c>
    </row>
    <row r="68" spans="3:7" ht="12.75">
      <c r="C68" s="64" t="s">
        <v>197</v>
      </c>
      <c r="D68" s="69" t="s">
        <v>269</v>
      </c>
      <c r="E68" s="99"/>
      <c r="F68" s="158"/>
      <c r="G68" s="101">
        <f>VLOOKUP(E68,'Points-Score conv.'!$B$4:$C$28,2,FALSE)</f>
        <v>0</v>
      </c>
    </row>
    <row r="69" spans="3:7" ht="12.75">
      <c r="C69" s="64" t="s">
        <v>198</v>
      </c>
      <c r="D69" s="69" t="s">
        <v>270</v>
      </c>
      <c r="E69" s="99"/>
      <c r="F69" s="158"/>
      <c r="G69" s="101">
        <f>VLOOKUP(E69,'Points-Score conv.'!$B$4:$C$28,2,FALSE)</f>
        <v>0</v>
      </c>
    </row>
    <row r="70" spans="3:7" ht="12.75">
      <c r="C70" s="64" t="s">
        <v>199</v>
      </c>
      <c r="D70" s="69" t="s">
        <v>271</v>
      </c>
      <c r="E70" s="99"/>
      <c r="F70" s="158"/>
      <c r="G70" s="101">
        <f>VLOOKUP(E70,'Points-Score conv.'!$B$4:$C$28,2,FALSE)</f>
        <v>0</v>
      </c>
    </row>
    <row r="71" spans="3:7" ht="12.75">
      <c r="C71" s="64" t="s">
        <v>200</v>
      </c>
      <c r="D71" s="69" t="s">
        <v>272</v>
      </c>
      <c r="E71" s="99"/>
      <c r="F71" s="158"/>
      <c r="G71" s="101">
        <f>VLOOKUP(E71,'Points-Score conv.'!$B$4:$C$28,2,FALSE)</f>
        <v>0</v>
      </c>
    </row>
    <row r="72" spans="3:7" ht="12.75">
      <c r="C72" s="64" t="s">
        <v>201</v>
      </c>
      <c r="D72" s="69" t="s">
        <v>273</v>
      </c>
      <c r="E72" s="99"/>
      <c r="F72" s="158"/>
      <c r="G72" s="101">
        <f>VLOOKUP(E72,'Points-Score conv.'!$B$4:$C$28,2,FALSE)</f>
        <v>0</v>
      </c>
    </row>
    <row r="73" spans="3:7" ht="12.75">
      <c r="C73" s="64" t="s">
        <v>202</v>
      </c>
      <c r="D73" s="69" t="s">
        <v>274</v>
      </c>
      <c r="E73" s="99"/>
      <c r="F73" s="158"/>
      <c r="G73" s="101">
        <f>VLOOKUP(E73,'Points-Score conv.'!$B$4:$C$28,2,FALSE)</f>
        <v>0</v>
      </c>
    </row>
    <row r="74" spans="3:7" ht="12.75">
      <c r="C74" s="64" t="s">
        <v>203</v>
      </c>
      <c r="D74" s="69" t="s">
        <v>275</v>
      </c>
      <c r="E74" s="99"/>
      <c r="F74" s="158"/>
      <c r="G74" s="101">
        <f>VLOOKUP(E74,'Points-Score conv.'!$B$4:$C$28,2,FALSE)</f>
        <v>0</v>
      </c>
    </row>
    <row r="75" spans="3:7" ht="12.75">
      <c r="C75" s="64" t="s">
        <v>204</v>
      </c>
      <c r="D75" s="69" t="s">
        <v>276</v>
      </c>
      <c r="E75" s="99"/>
      <c r="F75" s="158"/>
      <c r="G75" s="101">
        <f>VLOOKUP(E75,'Points-Score conv.'!$B$4:$C$28,2,FALSE)</f>
        <v>0</v>
      </c>
    </row>
    <row r="76" ht="12.75"/>
    <row r="77" ht="12.75"/>
    <row r="78" ht="12.75">
      <c r="C78" s="64" t="s">
        <v>285</v>
      </c>
    </row>
    <row r="79" ht="12.75"/>
    <row r="80" ht="12.75"/>
    <row r="81" spans="1:4" ht="12.75">
      <c r="A81" s="102" t="s">
        <v>221</v>
      </c>
      <c r="B81" s="78" t="s">
        <v>222</v>
      </c>
      <c r="D81" s="104" t="str">
        <f>CONCATENATE(J86," ",J87," ",J88," ",J89," ",I198)</f>
        <v>- You must spend all your points. - - -</v>
      </c>
    </row>
    <row r="82" spans="4:17" ht="103.5" customHeight="1">
      <c r="D82" s="80" t="s">
        <v>186</v>
      </c>
      <c r="E82" s="80" t="s">
        <v>109</v>
      </c>
      <c r="F82" s="81" t="s">
        <v>207</v>
      </c>
      <c r="G82" s="81" t="s">
        <v>206</v>
      </c>
      <c r="H82" s="65"/>
      <c r="I82" s="82" t="s">
        <v>111</v>
      </c>
      <c r="J82" s="83" t="s">
        <v>224</v>
      </c>
      <c r="K82" s="83"/>
      <c r="L82" s="83" t="s">
        <v>191</v>
      </c>
      <c r="P82" s="82" t="s">
        <v>110</v>
      </c>
      <c r="Q82" s="82" t="s">
        <v>111</v>
      </c>
    </row>
    <row r="83" spans="4:8" ht="45">
      <c r="D83" s="84" t="s">
        <v>238</v>
      </c>
      <c r="E83" s="85" t="str">
        <f>CONCATENATE($Q$86," points per year")</f>
        <v>15 points per year</v>
      </c>
      <c r="F83" s="118" t="s">
        <v>252</v>
      </c>
      <c r="G83" s="85" t="s">
        <v>192</v>
      </c>
      <c r="H83" s="77" t="s">
        <v>289</v>
      </c>
    </row>
    <row r="84" spans="3:10" ht="12.75">
      <c r="C84" s="65" t="s">
        <v>188</v>
      </c>
      <c r="D84" s="79">
        <v>5</v>
      </c>
      <c r="E84" s="63"/>
      <c r="F84" s="79">
        <v>15</v>
      </c>
      <c r="G84" s="63"/>
      <c r="H84" s="63"/>
      <c r="I84" s="222" t="str">
        <f>CONCATENATE(H85," years old")</f>
        <v>20 years old</v>
      </c>
      <c r="J84" s="223"/>
    </row>
    <row r="85" spans="3:9" ht="12.75">
      <c r="C85" s="65" t="s">
        <v>239</v>
      </c>
      <c r="D85" s="119">
        <f>SUM($D$84:D84)</f>
        <v>5</v>
      </c>
      <c r="E85" s="119">
        <f>SUM($D$84:E84)</f>
        <v>5</v>
      </c>
      <c r="F85" s="119">
        <f>SUM($D$84:F84)</f>
        <v>20</v>
      </c>
      <c r="G85" s="119">
        <f>SUM($D$84:G84)</f>
        <v>20</v>
      </c>
      <c r="H85" s="119">
        <f>SUM($D$84:H84)</f>
        <v>20</v>
      </c>
      <c r="I85" s="135"/>
    </row>
    <row r="86" spans="3:17" ht="12.75">
      <c r="C86" s="65" t="s">
        <v>187</v>
      </c>
      <c r="D86" s="79">
        <v>45</v>
      </c>
      <c r="E86" s="79">
        <f>$Q$86*E84</f>
        <v>0</v>
      </c>
      <c r="F86" s="79">
        <f>IF(MAGUS,240,0)+IF(SKILLP,60,0)</f>
        <v>0</v>
      </c>
      <c r="G86" s="79">
        <f>IF(MAGUS,30*G84,0)</f>
        <v>0</v>
      </c>
      <c r="J86" s="103" t="str">
        <f>IF($D$116&lt;75,"You must spend at least 75 points in your native language during early childhood.","-")</f>
        <v>-</v>
      </c>
      <c r="P86" s="64" t="s">
        <v>229</v>
      </c>
      <c r="Q86" s="137">
        <f>IF(WEALTHY,20,IF(POOR,10,15))</f>
        <v>15</v>
      </c>
    </row>
    <row r="87" spans="3:10" ht="12.75">
      <c r="C87" s="65" t="s">
        <v>246</v>
      </c>
      <c r="D87" s="62">
        <f>D86+75-SUM(D92:D170)</f>
        <v>45</v>
      </c>
      <c r="E87" s="62">
        <f>E86-SUM(E92:E170)</f>
        <v>0</v>
      </c>
      <c r="F87" s="62">
        <f>F86-SUM(F92:F170)-SUM(F179:F194)</f>
        <v>0</v>
      </c>
      <c r="G87" s="62">
        <f>G86-SUM(G92:G170)-SUM(G179:G194)-G197</f>
        <v>0</v>
      </c>
      <c r="J87" s="103" t="str">
        <f>IF(SUM($D$87:$G$87)&lt;&gt;0,"You must spend all your points.","-")</f>
        <v>You must spend all your points.</v>
      </c>
    </row>
    <row r="88" spans="3:10" ht="12.75">
      <c r="C88" s="65"/>
      <c r="D88" s="86"/>
      <c r="E88" s="69"/>
      <c r="F88" s="69"/>
      <c r="G88" s="69"/>
      <c r="J88" s="138" t="str">
        <f>IF(AND(MAGUS,OR(F139&lt;5,F152&lt;5,F153&lt;5)),"Magi should spend at least 5 points in Parma, Magic Theory and Latin during apprenticeship.","-")</f>
        <v>-</v>
      </c>
    </row>
    <row r="89" spans="3:17" ht="12.75">
      <c r="C89" s="65" t="s">
        <v>242</v>
      </c>
      <c r="D89" s="110">
        <f>VLOOKUP(D$85,'Points-Score conv.'!$B$34:$E$38,2,TRUE)</f>
        <v>5</v>
      </c>
      <c r="E89" s="110">
        <f>VLOOKUP(E$85,'Points-Score conv.'!$B$34:$E$38,2,TRUE)</f>
        <v>5</v>
      </c>
      <c r="F89" s="110">
        <f>VLOOKUP(F$85,'Points-Score conv.'!$B$34:$E$38,2,TRUE)</f>
        <v>5</v>
      </c>
      <c r="G89" s="110">
        <f>VLOOKUP(G$85,'Points-Score conv.'!$B$34:$E$38,2,TRUE)</f>
        <v>5</v>
      </c>
      <c r="H89" s="105"/>
      <c r="I89" s="110">
        <f>G89</f>
        <v>5</v>
      </c>
      <c r="J89" s="103" t="str">
        <f>IF(MAX($I$92:$I$170,$I$179:$I$194)&gt;$I$89,"You can't go over the maximum.","-")</f>
        <v>-</v>
      </c>
      <c r="P89" s="105"/>
      <c r="Q89" s="105"/>
    </row>
    <row r="90" spans="3:12" ht="12.75">
      <c r="C90" s="65"/>
      <c r="D90" s="86"/>
      <c r="E90" s="86"/>
      <c r="F90" s="86"/>
      <c r="G90" s="86"/>
      <c r="L90" s="100" t="s">
        <v>288</v>
      </c>
    </row>
    <row r="91" spans="2:17" ht="12.75">
      <c r="B91" s="65" t="s">
        <v>108</v>
      </c>
      <c r="C91" s="65"/>
      <c r="D91" s="69" t="s">
        <v>211</v>
      </c>
      <c r="E91" s="69" t="s">
        <v>211</v>
      </c>
      <c r="F91" s="69" t="s">
        <v>211</v>
      </c>
      <c r="G91" s="69" t="s">
        <v>211</v>
      </c>
      <c r="I91" s="77" t="s">
        <v>111</v>
      </c>
      <c r="J91" s="69" t="s">
        <v>211</v>
      </c>
      <c r="L91" s="100" t="s">
        <v>212</v>
      </c>
      <c r="P91" s="69" t="s">
        <v>211</v>
      </c>
      <c r="Q91" s="77" t="s">
        <v>111</v>
      </c>
    </row>
    <row r="92" spans="3:17" ht="12.75">
      <c r="C92" s="64" t="s">
        <v>116</v>
      </c>
      <c r="D92" s="63"/>
      <c r="E92" s="63"/>
      <c r="F92" s="63"/>
      <c r="G92" s="63"/>
      <c r="I92" s="66" t="str">
        <f aca="true" t="shared" si="0" ref="I92:I133">IF(P92=0,"-",Q92)</f>
        <v>-</v>
      </c>
      <c r="J92" s="67">
        <f>P92-VLOOKUP(Q92,'Points-Score conv.'!$B$4:$D$28,3,FALSE)</f>
        <v>0</v>
      </c>
      <c r="L92" s="68">
        <f>VLOOKUP(Q92+1,'Points-Score conv.'!$B$4:$D$28,3,FALSE)-P92</f>
        <v>5</v>
      </c>
      <c r="P92" s="116">
        <f aca="true" t="shared" si="1" ref="P92:P133">SUM(D92:G92)</f>
        <v>0</v>
      </c>
      <c r="Q92" s="117">
        <f>VLOOKUP(P92,'Points-Score conv.'!$D$4:$E$28,2,TRUE)</f>
        <v>0</v>
      </c>
    </row>
    <row r="93" spans="4:17" ht="12.75">
      <c r="D93" s="63"/>
      <c r="E93" s="63"/>
      <c r="F93" s="63"/>
      <c r="G93" s="63"/>
      <c r="I93" s="66" t="str">
        <f t="shared" si="0"/>
        <v>-</v>
      </c>
      <c r="J93" s="67">
        <f>P93-VLOOKUP(Q93,'Points-Score conv.'!$B$4:$D$28,3,FALSE)</f>
        <v>0</v>
      </c>
      <c r="L93" s="68">
        <f>VLOOKUP(Q93+1,'Points-Score conv.'!$B$4:$D$28,3,FALSE)-P93</f>
        <v>5</v>
      </c>
      <c r="P93" s="116">
        <f t="shared" si="1"/>
        <v>0</v>
      </c>
      <c r="Q93" s="117">
        <f>VLOOKUP(P93,'Points-Score conv.'!$D$4:$E$28,2,TRUE)</f>
        <v>0</v>
      </c>
    </row>
    <row r="94" spans="4:17" ht="12.75">
      <c r="D94" s="63"/>
      <c r="E94" s="63"/>
      <c r="F94" s="63"/>
      <c r="G94" s="63"/>
      <c r="I94" s="66" t="str">
        <f t="shared" si="0"/>
        <v>-</v>
      </c>
      <c r="J94" s="67">
        <f>P94-VLOOKUP(Q94,'Points-Score conv.'!$B$4:$D$28,3,FALSE)</f>
        <v>0</v>
      </c>
      <c r="L94" s="68">
        <f>VLOOKUP(Q94+1,'Points-Score conv.'!$B$4:$D$28,3,FALSE)-P94</f>
        <v>5</v>
      </c>
      <c r="P94" s="116">
        <f t="shared" si="1"/>
        <v>0</v>
      </c>
      <c r="Q94" s="117">
        <f>VLOOKUP(P94,'Points-Score conv.'!$D$4:$E$28,2,TRUE)</f>
        <v>0</v>
      </c>
    </row>
    <row r="95" spans="4:17" ht="12.75">
      <c r="D95" s="63"/>
      <c r="E95" s="63"/>
      <c r="F95" s="63"/>
      <c r="G95" s="63"/>
      <c r="I95" s="66" t="str">
        <f t="shared" si="0"/>
        <v>-</v>
      </c>
      <c r="J95" s="67">
        <f>P95-VLOOKUP(Q95,'Points-Score conv.'!$B$4:$D$28,3,FALSE)</f>
        <v>0</v>
      </c>
      <c r="L95" s="68">
        <f>VLOOKUP(Q95+1,'Points-Score conv.'!$B$4:$D$28,3,FALSE)-P95</f>
        <v>5</v>
      </c>
      <c r="P95" s="116">
        <f t="shared" si="1"/>
        <v>0</v>
      </c>
      <c r="Q95" s="117">
        <f>VLOOKUP(P95,'Points-Score conv.'!$D$4:$E$28,2,TRUE)</f>
        <v>0</v>
      </c>
    </row>
    <row r="96" spans="3:17" ht="12.75">
      <c r="C96" s="64" t="s">
        <v>117</v>
      </c>
      <c r="D96" s="111"/>
      <c r="E96" s="63"/>
      <c r="F96" s="63"/>
      <c r="G96" s="63"/>
      <c r="I96" s="66" t="str">
        <f t="shared" si="0"/>
        <v>-</v>
      </c>
      <c r="J96" s="67">
        <f>P96-VLOOKUP(Q96,'Points-Score conv.'!$B$4:$D$28,3,FALSE)</f>
        <v>0</v>
      </c>
      <c r="L96" s="68">
        <f>VLOOKUP(Q96+1,'Points-Score conv.'!$B$4:$D$28,3,FALSE)-P96</f>
        <v>5</v>
      </c>
      <c r="P96" s="116">
        <f t="shared" si="1"/>
        <v>0</v>
      </c>
      <c r="Q96" s="117">
        <f>VLOOKUP(P96,'Points-Score conv.'!$D$4:$E$28,2,TRUE)</f>
        <v>0</v>
      </c>
    </row>
    <row r="97" spans="3:17" ht="12.75">
      <c r="C97" s="64" t="s">
        <v>118</v>
      </c>
      <c r="D97" s="63"/>
      <c r="E97" s="63"/>
      <c r="F97" s="63"/>
      <c r="G97" s="63"/>
      <c r="I97" s="66" t="str">
        <f t="shared" si="0"/>
        <v>-</v>
      </c>
      <c r="J97" s="67">
        <f>P97-VLOOKUP(Q97,'Points-Score conv.'!$B$4:$D$28,3,FALSE)</f>
        <v>0</v>
      </c>
      <c r="L97" s="68">
        <f>VLOOKUP(Q97+1,'Points-Score conv.'!$B$4:$D$28,3,FALSE)-P97</f>
        <v>5</v>
      </c>
      <c r="P97" s="116">
        <f t="shared" si="1"/>
        <v>0</v>
      </c>
      <c r="Q97" s="117">
        <f>VLOOKUP(P97,'Points-Score conv.'!$D$4:$E$28,2,TRUE)</f>
        <v>0</v>
      </c>
    </row>
    <row r="98" spans="3:17" ht="12.75">
      <c r="C98" s="64" t="s">
        <v>119</v>
      </c>
      <c r="D98" s="63"/>
      <c r="E98" s="63"/>
      <c r="F98" s="63"/>
      <c r="G98" s="63"/>
      <c r="I98" s="66" t="str">
        <f t="shared" si="0"/>
        <v>-</v>
      </c>
      <c r="J98" s="67">
        <f>P98-VLOOKUP(Q98,'Points-Score conv.'!$B$4:$D$28,3,FALSE)</f>
        <v>0</v>
      </c>
      <c r="L98" s="68">
        <f>VLOOKUP(Q98+1,'Points-Score conv.'!$B$4:$D$28,3,FALSE)-P98</f>
        <v>5</v>
      </c>
      <c r="P98" s="116">
        <f t="shared" si="1"/>
        <v>0</v>
      </c>
      <c r="Q98" s="117">
        <f>VLOOKUP(P98,'Points-Score conv.'!$D$4:$E$28,2,TRUE)</f>
        <v>0</v>
      </c>
    </row>
    <row r="99" spans="3:17" ht="12.75">
      <c r="C99" s="64" t="s">
        <v>120</v>
      </c>
      <c r="D99" s="111"/>
      <c r="E99" s="63"/>
      <c r="F99" s="63"/>
      <c r="G99" s="63"/>
      <c r="I99" s="66" t="str">
        <f t="shared" si="0"/>
        <v>-</v>
      </c>
      <c r="J99" s="67">
        <f>P99-VLOOKUP(Q99,'Points-Score conv.'!$B$4:$D$28,3,FALSE)</f>
        <v>0</v>
      </c>
      <c r="L99" s="68">
        <f>VLOOKUP(Q99+1,'Points-Score conv.'!$B$4:$D$28,3,FALSE)-P99</f>
        <v>5</v>
      </c>
      <c r="P99" s="116">
        <f t="shared" si="1"/>
        <v>0</v>
      </c>
      <c r="Q99" s="117">
        <f>VLOOKUP(P99,'Points-Score conv.'!$D$4:$E$28,2,TRUE)</f>
        <v>0</v>
      </c>
    </row>
    <row r="100" spans="3:17" ht="12.75">
      <c r="C100" s="64" t="s">
        <v>121</v>
      </c>
      <c r="D100" s="63"/>
      <c r="E100" s="63"/>
      <c r="F100" s="63"/>
      <c r="G100" s="63"/>
      <c r="I100" s="66" t="str">
        <f t="shared" si="0"/>
        <v>-</v>
      </c>
      <c r="J100" s="67">
        <f>P100-VLOOKUP(Q100,'Points-Score conv.'!$B$4:$D$28,3,FALSE)</f>
        <v>0</v>
      </c>
      <c r="L100" s="68">
        <f>VLOOKUP(Q100+1,'Points-Score conv.'!$B$4:$D$28,3,FALSE)-P100</f>
        <v>5</v>
      </c>
      <c r="P100" s="116">
        <f t="shared" si="1"/>
        <v>0</v>
      </c>
      <c r="Q100" s="117">
        <f>VLOOKUP(P100,'Points-Score conv.'!$D$4:$E$28,2,TRUE)</f>
        <v>0</v>
      </c>
    </row>
    <row r="101" spans="3:17" ht="12.75">
      <c r="C101" s="64" t="s">
        <v>122</v>
      </c>
      <c r="D101" s="111"/>
      <c r="E101" s="63"/>
      <c r="F101" s="63"/>
      <c r="G101" s="63"/>
      <c r="I101" s="66" t="str">
        <f t="shared" si="0"/>
        <v>-</v>
      </c>
      <c r="J101" s="67">
        <f>P101-VLOOKUP(Q101,'Points-Score conv.'!$B$4:$D$28,3,FALSE)</f>
        <v>0</v>
      </c>
      <c r="L101" s="68">
        <f>VLOOKUP(Q101+1,'Points-Score conv.'!$B$4:$D$28,3,FALSE)-P101</f>
        <v>5</v>
      </c>
      <c r="P101" s="116">
        <f t="shared" si="1"/>
        <v>0</v>
      </c>
      <c r="Q101" s="117">
        <f>VLOOKUP(P101,'Points-Score conv.'!$D$4:$E$28,2,TRUE)</f>
        <v>0</v>
      </c>
    </row>
    <row r="102" spans="3:17" ht="12.75">
      <c r="C102" s="64" t="s">
        <v>123</v>
      </c>
      <c r="D102" s="63"/>
      <c r="E102" s="63"/>
      <c r="F102" s="63"/>
      <c r="G102" s="63"/>
      <c r="I102" s="66" t="str">
        <f t="shared" si="0"/>
        <v>-</v>
      </c>
      <c r="J102" s="67">
        <f>P102-VLOOKUP(Q102,'Points-Score conv.'!$B$4:$D$28,3,FALSE)</f>
        <v>0</v>
      </c>
      <c r="L102" s="68">
        <f>VLOOKUP(Q102+1,'Points-Score conv.'!$B$4:$D$28,3,FALSE)-P102</f>
        <v>5</v>
      </c>
      <c r="P102" s="116">
        <f t="shared" si="1"/>
        <v>0</v>
      </c>
      <c r="Q102" s="117">
        <f>VLOOKUP(P102,'Points-Score conv.'!$D$4:$E$28,2,TRUE)</f>
        <v>0</v>
      </c>
    </row>
    <row r="103" spans="3:17" ht="12.75">
      <c r="C103" s="64" t="s">
        <v>124</v>
      </c>
      <c r="D103" s="111"/>
      <c r="E103" s="63"/>
      <c r="F103" s="63"/>
      <c r="G103" s="63"/>
      <c r="I103" s="66" t="str">
        <f t="shared" si="0"/>
        <v>-</v>
      </c>
      <c r="J103" s="67">
        <f>P103-VLOOKUP(Q103,'Points-Score conv.'!$B$4:$D$28,3,FALSE)</f>
        <v>0</v>
      </c>
      <c r="L103" s="68">
        <f>VLOOKUP(Q103+1,'Points-Score conv.'!$B$4:$D$28,3,FALSE)-P103</f>
        <v>5</v>
      </c>
      <c r="P103" s="116">
        <f t="shared" si="1"/>
        <v>0</v>
      </c>
      <c r="Q103" s="117">
        <f>VLOOKUP(P103,'Points-Score conv.'!$D$4:$E$28,2,TRUE)</f>
        <v>0</v>
      </c>
    </row>
    <row r="104" spans="3:17" ht="12.75">
      <c r="C104" s="64" t="s">
        <v>26</v>
      </c>
      <c r="D104" s="111"/>
      <c r="E104" s="63"/>
      <c r="F104" s="63"/>
      <c r="G104" s="63"/>
      <c r="I104" s="66" t="str">
        <f t="shared" si="0"/>
        <v>-</v>
      </c>
      <c r="J104" s="67">
        <f>P104-VLOOKUP(Q104,'Points-Score conv.'!$B$4:$D$28,3,FALSE)</f>
        <v>0</v>
      </c>
      <c r="L104" s="68">
        <f>VLOOKUP(Q104+1,'Points-Score conv.'!$B$4:$D$28,3,FALSE)-P104</f>
        <v>5</v>
      </c>
      <c r="P104" s="116">
        <f t="shared" si="1"/>
        <v>0</v>
      </c>
      <c r="Q104" s="117">
        <f>VLOOKUP(P104,'Points-Score conv.'!$D$4:$E$28,2,TRUE)</f>
        <v>0</v>
      </c>
    </row>
    <row r="105" spans="3:17" ht="12.75">
      <c r="C105" s="64" t="s">
        <v>125</v>
      </c>
      <c r="D105" s="111"/>
      <c r="E105" s="63"/>
      <c r="F105" s="63"/>
      <c r="G105" s="63"/>
      <c r="I105" s="66" t="str">
        <f t="shared" si="0"/>
        <v>-</v>
      </c>
      <c r="J105" s="67">
        <f>P105-VLOOKUP(Q105,'Points-Score conv.'!$B$4:$D$28,3,FALSE)</f>
        <v>0</v>
      </c>
      <c r="L105" s="68">
        <f>VLOOKUP(Q105+1,'Points-Score conv.'!$B$4:$D$28,3,FALSE)-P105</f>
        <v>5</v>
      </c>
      <c r="P105" s="116">
        <f t="shared" si="1"/>
        <v>0</v>
      </c>
      <c r="Q105" s="117">
        <f>VLOOKUP(P105,'Points-Score conv.'!$D$4:$E$28,2,TRUE)</f>
        <v>0</v>
      </c>
    </row>
    <row r="106" spans="4:17" ht="12.75">
      <c r="D106" s="111"/>
      <c r="E106" s="63"/>
      <c r="F106" s="63"/>
      <c r="G106" s="63"/>
      <c r="I106" s="66" t="str">
        <f t="shared" si="0"/>
        <v>-</v>
      </c>
      <c r="J106" s="67">
        <f>P106-VLOOKUP(Q106,'Points-Score conv.'!$B$4:$D$28,3,FALSE)</f>
        <v>0</v>
      </c>
      <c r="L106" s="68">
        <f>VLOOKUP(Q106+1,'Points-Score conv.'!$B$4:$D$28,3,FALSE)-P106</f>
        <v>5</v>
      </c>
      <c r="P106" s="116">
        <f t="shared" si="1"/>
        <v>0</v>
      </c>
      <c r="Q106" s="117">
        <f>VLOOKUP(P106,'Points-Score conv.'!$D$4:$E$28,2,TRUE)</f>
        <v>0</v>
      </c>
    </row>
    <row r="107" spans="4:17" ht="12.75">
      <c r="D107" s="111"/>
      <c r="E107" s="63"/>
      <c r="F107" s="63"/>
      <c r="G107" s="63"/>
      <c r="I107" s="66" t="str">
        <f t="shared" si="0"/>
        <v>-</v>
      </c>
      <c r="J107" s="67">
        <f>P107-VLOOKUP(Q107,'Points-Score conv.'!$B$4:$D$28,3,FALSE)</f>
        <v>0</v>
      </c>
      <c r="L107" s="68">
        <f>VLOOKUP(Q107+1,'Points-Score conv.'!$B$4:$D$28,3,FALSE)-P107</f>
        <v>5</v>
      </c>
      <c r="P107" s="116">
        <f t="shared" si="1"/>
        <v>0</v>
      </c>
      <c r="Q107" s="117">
        <f>VLOOKUP(P107,'Points-Score conv.'!$D$4:$E$28,2,TRUE)</f>
        <v>0</v>
      </c>
    </row>
    <row r="108" spans="4:17" ht="12.75">
      <c r="D108" s="111"/>
      <c r="E108" s="63"/>
      <c r="F108" s="63"/>
      <c r="G108" s="63"/>
      <c r="I108" s="66" t="str">
        <f t="shared" si="0"/>
        <v>-</v>
      </c>
      <c r="J108" s="67">
        <f>P108-VLOOKUP(Q108,'Points-Score conv.'!$B$4:$D$28,3,FALSE)</f>
        <v>0</v>
      </c>
      <c r="L108" s="68">
        <f>VLOOKUP(Q108+1,'Points-Score conv.'!$B$4:$D$28,3,FALSE)-P108</f>
        <v>5</v>
      </c>
      <c r="P108" s="116">
        <f t="shared" si="1"/>
        <v>0</v>
      </c>
      <c r="Q108" s="117">
        <f>VLOOKUP(P108,'Points-Score conv.'!$D$4:$E$28,2,TRUE)</f>
        <v>0</v>
      </c>
    </row>
    <row r="109" spans="3:17" ht="12.75">
      <c r="C109" s="64" t="s">
        <v>126</v>
      </c>
      <c r="D109" s="111"/>
      <c r="E109" s="63"/>
      <c r="F109" s="63"/>
      <c r="G109" s="63"/>
      <c r="I109" s="66" t="str">
        <f t="shared" si="0"/>
        <v>-</v>
      </c>
      <c r="J109" s="67">
        <f>P109-VLOOKUP(Q109,'Points-Score conv.'!$B$4:$D$28,3,FALSE)</f>
        <v>0</v>
      </c>
      <c r="L109" s="68">
        <f>VLOOKUP(Q109+1,'Points-Score conv.'!$B$4:$D$28,3,FALSE)-P109</f>
        <v>5</v>
      </c>
      <c r="P109" s="116">
        <f t="shared" si="1"/>
        <v>0</v>
      </c>
      <c r="Q109" s="117">
        <f>VLOOKUP(P109,'Points-Score conv.'!$D$4:$E$28,2,TRUE)</f>
        <v>0</v>
      </c>
    </row>
    <row r="110" spans="3:17" ht="12.75">
      <c r="C110" s="64" t="s">
        <v>127</v>
      </c>
      <c r="D110" s="63"/>
      <c r="E110" s="63"/>
      <c r="F110" s="63"/>
      <c r="G110" s="63"/>
      <c r="I110" s="66" t="str">
        <f t="shared" si="0"/>
        <v>-</v>
      </c>
      <c r="J110" s="67">
        <f>P110-VLOOKUP(Q110,'Points-Score conv.'!$B$4:$D$28,3,FALSE)</f>
        <v>0</v>
      </c>
      <c r="L110" s="68">
        <f>VLOOKUP(Q110+1,'Points-Score conv.'!$B$4:$D$28,3,FALSE)-P110</f>
        <v>5</v>
      </c>
      <c r="P110" s="116">
        <f t="shared" si="1"/>
        <v>0</v>
      </c>
      <c r="Q110" s="117">
        <f>VLOOKUP(P110,'Points-Score conv.'!$D$4:$E$28,2,TRUE)</f>
        <v>0</v>
      </c>
    </row>
    <row r="111" spans="3:17" ht="12.75">
      <c r="C111" s="64" t="s">
        <v>128</v>
      </c>
      <c r="D111" s="63"/>
      <c r="E111" s="63"/>
      <c r="F111" s="63"/>
      <c r="G111" s="63"/>
      <c r="I111" s="66" t="str">
        <f t="shared" si="0"/>
        <v>-</v>
      </c>
      <c r="J111" s="67">
        <f>P111-VLOOKUP(Q111,'Points-Score conv.'!$B$4:$D$28,3,FALSE)</f>
        <v>0</v>
      </c>
      <c r="L111" s="68">
        <f>VLOOKUP(Q111+1,'Points-Score conv.'!$B$4:$D$28,3,FALSE)-P111</f>
        <v>5</v>
      </c>
      <c r="P111" s="116">
        <f t="shared" si="1"/>
        <v>0</v>
      </c>
      <c r="Q111" s="117">
        <f>VLOOKUP(P111,'Points-Score conv.'!$D$4:$E$28,2,TRUE)</f>
        <v>0</v>
      </c>
    </row>
    <row r="112" spans="3:17" ht="12.75">
      <c r="C112" s="64" t="s">
        <v>129</v>
      </c>
      <c r="D112" s="111"/>
      <c r="E112" s="63"/>
      <c r="F112" s="63"/>
      <c r="G112" s="63"/>
      <c r="I112" s="66" t="str">
        <f t="shared" si="0"/>
        <v>-</v>
      </c>
      <c r="J112" s="67">
        <f>P112-VLOOKUP(Q112,'Points-Score conv.'!$B$4:$D$28,3,FALSE)</f>
        <v>0</v>
      </c>
      <c r="L112" s="68">
        <f>VLOOKUP(Q112+1,'Points-Score conv.'!$B$4:$D$28,3,FALSE)-P112</f>
        <v>5</v>
      </c>
      <c r="P112" s="116">
        <f t="shared" si="1"/>
        <v>0</v>
      </c>
      <c r="Q112" s="117">
        <f>VLOOKUP(P112,'Points-Score conv.'!$D$4:$E$28,2,TRUE)</f>
        <v>0</v>
      </c>
    </row>
    <row r="113" spans="3:17" ht="12.75">
      <c r="C113" s="64" t="s">
        <v>130</v>
      </c>
      <c r="D113" s="111"/>
      <c r="E113" s="63"/>
      <c r="F113" s="63"/>
      <c r="G113" s="63"/>
      <c r="I113" s="66" t="str">
        <f t="shared" si="0"/>
        <v>-</v>
      </c>
      <c r="J113" s="67">
        <f>P113-VLOOKUP(Q113,'Points-Score conv.'!$B$4:$D$28,3,FALSE)</f>
        <v>0</v>
      </c>
      <c r="L113" s="68">
        <f>VLOOKUP(Q113+1,'Points-Score conv.'!$B$4:$D$28,3,FALSE)-P113</f>
        <v>5</v>
      </c>
      <c r="P113" s="116">
        <f t="shared" si="1"/>
        <v>0</v>
      </c>
      <c r="Q113" s="117">
        <f>VLOOKUP(P113,'Points-Score conv.'!$D$4:$E$28,2,TRUE)</f>
        <v>0</v>
      </c>
    </row>
    <row r="114" spans="3:17" ht="12.75">
      <c r="C114" s="64" t="s">
        <v>131</v>
      </c>
      <c r="D114" s="111"/>
      <c r="E114" s="63"/>
      <c r="F114" s="63"/>
      <c r="G114" s="63"/>
      <c r="I114" s="66" t="str">
        <f t="shared" si="0"/>
        <v>-</v>
      </c>
      <c r="J114" s="67">
        <f>P114-VLOOKUP(Q114,'Points-Score conv.'!$B$4:$D$28,3,FALSE)</f>
        <v>0</v>
      </c>
      <c r="L114" s="68">
        <f>VLOOKUP(Q114+1,'Points-Score conv.'!$B$4:$D$28,3,FALSE)-P114</f>
        <v>5</v>
      </c>
      <c r="P114" s="116">
        <f t="shared" si="1"/>
        <v>0</v>
      </c>
      <c r="Q114" s="117">
        <f>VLOOKUP(P114,'Points-Score conv.'!$D$4:$E$28,2,TRUE)</f>
        <v>0</v>
      </c>
    </row>
    <row r="115" spans="3:17" ht="12.75">
      <c r="C115" s="64" t="s">
        <v>132</v>
      </c>
      <c r="D115" s="111"/>
      <c r="E115" s="63"/>
      <c r="F115" s="63"/>
      <c r="G115" s="63"/>
      <c r="I115" s="66" t="str">
        <f t="shared" si="0"/>
        <v>-</v>
      </c>
      <c r="J115" s="67">
        <f>P115-VLOOKUP(Q115,'Points-Score conv.'!$B$4:$D$28,3,FALSE)</f>
        <v>0</v>
      </c>
      <c r="L115" s="68">
        <f>VLOOKUP(Q115+1,'Points-Score conv.'!$B$4:$D$28,3,FALSE)-P115</f>
        <v>5</v>
      </c>
      <c r="P115" s="116">
        <f t="shared" si="1"/>
        <v>0</v>
      </c>
      <c r="Q115" s="117">
        <f>VLOOKUP(P115,'Points-Score conv.'!$D$4:$E$28,2,TRUE)</f>
        <v>0</v>
      </c>
    </row>
    <row r="116" spans="3:17" ht="12.75">
      <c r="C116" s="64" t="s">
        <v>133</v>
      </c>
      <c r="D116" s="79">
        <v>75</v>
      </c>
      <c r="E116" s="63"/>
      <c r="F116" s="63"/>
      <c r="G116" s="63"/>
      <c r="H116" s="89"/>
      <c r="I116" s="66">
        <f t="shared" si="0"/>
        <v>5</v>
      </c>
      <c r="J116" s="67">
        <f>P116-VLOOKUP(Q116,'Points-Score conv.'!$B$4:$D$28,3,FALSE)</f>
        <v>0</v>
      </c>
      <c r="L116" s="68">
        <f>VLOOKUP(Q116+1,'Points-Score conv.'!$B$4:$D$28,3,FALSE)-P116</f>
        <v>30</v>
      </c>
      <c r="P116" s="116">
        <f t="shared" si="1"/>
        <v>75</v>
      </c>
      <c r="Q116" s="117">
        <f>VLOOKUP(P116,'Points-Score conv.'!$D$4:$E$28,2,TRUE)</f>
        <v>5</v>
      </c>
    </row>
    <row r="117" spans="3:17" ht="12.75">
      <c r="C117" s="64" t="s">
        <v>134</v>
      </c>
      <c r="D117" s="63"/>
      <c r="E117" s="63"/>
      <c r="F117" s="63"/>
      <c r="G117" s="63"/>
      <c r="H117" s="89"/>
      <c r="I117" s="66" t="str">
        <f t="shared" si="0"/>
        <v>-</v>
      </c>
      <c r="J117" s="67">
        <f>P117-VLOOKUP(Q117,'Points-Score conv.'!$B$4:$D$28,3,FALSE)</f>
        <v>0</v>
      </c>
      <c r="L117" s="68">
        <f>VLOOKUP(Q117+1,'Points-Score conv.'!$B$4:$D$28,3,FALSE)-P117</f>
        <v>5</v>
      </c>
      <c r="P117" s="116">
        <f t="shared" si="1"/>
        <v>0</v>
      </c>
      <c r="Q117" s="117">
        <f>VLOOKUP(P117,'Points-Score conv.'!$D$4:$E$28,2,TRUE)</f>
        <v>0</v>
      </c>
    </row>
    <row r="118" spans="4:17" ht="12.75">
      <c r="D118" s="63"/>
      <c r="E118" s="63"/>
      <c r="F118" s="63"/>
      <c r="G118" s="63"/>
      <c r="I118" s="66" t="str">
        <f t="shared" si="0"/>
        <v>-</v>
      </c>
      <c r="J118" s="67">
        <f>P118-VLOOKUP(Q118,'Points-Score conv.'!$B$4:$D$28,3,FALSE)</f>
        <v>0</v>
      </c>
      <c r="L118" s="68">
        <f>VLOOKUP(Q118+1,'Points-Score conv.'!$B$4:$D$28,3,FALSE)-P118</f>
        <v>5</v>
      </c>
      <c r="P118" s="116">
        <f t="shared" si="1"/>
        <v>0</v>
      </c>
      <c r="Q118" s="117">
        <f>VLOOKUP(P118,'Points-Score conv.'!$D$4:$E$28,2,TRUE)</f>
        <v>0</v>
      </c>
    </row>
    <row r="119" spans="4:17" ht="12.75">
      <c r="D119" s="63"/>
      <c r="E119" s="63"/>
      <c r="F119" s="63"/>
      <c r="G119" s="63"/>
      <c r="I119" s="66" t="str">
        <f t="shared" si="0"/>
        <v>-</v>
      </c>
      <c r="J119" s="67">
        <f>P119-VLOOKUP(Q119,'Points-Score conv.'!$B$4:$D$28,3,FALSE)</f>
        <v>0</v>
      </c>
      <c r="L119" s="68">
        <f>VLOOKUP(Q119+1,'Points-Score conv.'!$B$4:$D$28,3,FALSE)-P119</f>
        <v>5</v>
      </c>
      <c r="P119" s="116">
        <f t="shared" si="1"/>
        <v>0</v>
      </c>
      <c r="Q119" s="117">
        <f>VLOOKUP(P119,'Points-Score conv.'!$D$4:$E$28,2,TRUE)</f>
        <v>0</v>
      </c>
    </row>
    <row r="120" spans="3:17" ht="12.75">
      <c r="C120" s="64" t="s">
        <v>135</v>
      </c>
      <c r="D120" s="111"/>
      <c r="E120" s="63"/>
      <c r="F120" s="63"/>
      <c r="G120" s="63"/>
      <c r="I120" s="66" t="str">
        <f t="shared" si="0"/>
        <v>-</v>
      </c>
      <c r="J120" s="67">
        <f>P120-VLOOKUP(Q120,'Points-Score conv.'!$B$4:$D$28,3,FALSE)</f>
        <v>0</v>
      </c>
      <c r="L120" s="68">
        <f>VLOOKUP(Q120+1,'Points-Score conv.'!$B$4:$D$28,3,FALSE)-P120</f>
        <v>5</v>
      </c>
      <c r="P120" s="116">
        <f t="shared" si="1"/>
        <v>0</v>
      </c>
      <c r="Q120" s="117">
        <f>VLOOKUP(P120,'Points-Score conv.'!$D$4:$E$28,2,TRUE)</f>
        <v>0</v>
      </c>
    </row>
    <row r="121" spans="3:17" ht="12.75">
      <c r="C121" s="64" t="s">
        <v>136</v>
      </c>
      <c r="D121" s="111"/>
      <c r="E121" s="63"/>
      <c r="F121" s="63"/>
      <c r="G121" s="63"/>
      <c r="I121" s="66" t="str">
        <f t="shared" si="0"/>
        <v>-</v>
      </c>
      <c r="J121" s="67">
        <f>P121-VLOOKUP(Q121,'Points-Score conv.'!$B$4:$D$28,3,FALSE)</f>
        <v>0</v>
      </c>
      <c r="L121" s="68">
        <f>VLOOKUP(Q121+1,'Points-Score conv.'!$B$4:$D$28,3,FALSE)-P121</f>
        <v>5</v>
      </c>
      <c r="P121" s="116">
        <f t="shared" si="1"/>
        <v>0</v>
      </c>
      <c r="Q121" s="117">
        <f>VLOOKUP(P121,'Points-Score conv.'!$D$4:$E$28,2,TRUE)</f>
        <v>0</v>
      </c>
    </row>
    <row r="122" spans="4:17" ht="12.75">
      <c r="D122" s="111"/>
      <c r="E122" s="63"/>
      <c r="F122" s="63"/>
      <c r="G122" s="63"/>
      <c r="I122" s="66" t="str">
        <f t="shared" si="0"/>
        <v>-</v>
      </c>
      <c r="J122" s="67">
        <f>P122-VLOOKUP(Q122,'Points-Score conv.'!$B$4:$D$28,3,FALSE)</f>
        <v>0</v>
      </c>
      <c r="L122" s="68">
        <f>VLOOKUP(Q122+1,'Points-Score conv.'!$B$4:$D$28,3,FALSE)-P122</f>
        <v>5</v>
      </c>
      <c r="P122" s="116">
        <f t="shared" si="1"/>
        <v>0</v>
      </c>
      <c r="Q122" s="117">
        <f>VLOOKUP(P122,'Points-Score conv.'!$D$4:$E$28,2,TRUE)</f>
        <v>0</v>
      </c>
    </row>
    <row r="123" spans="4:17" ht="12.75">
      <c r="D123" s="111"/>
      <c r="E123" s="63"/>
      <c r="F123" s="63"/>
      <c r="G123" s="63"/>
      <c r="I123" s="66" t="str">
        <f t="shared" si="0"/>
        <v>-</v>
      </c>
      <c r="J123" s="67">
        <f>P123-VLOOKUP(Q123,'Points-Score conv.'!$B$4:$D$28,3,FALSE)</f>
        <v>0</v>
      </c>
      <c r="L123" s="68">
        <f>VLOOKUP(Q123+1,'Points-Score conv.'!$B$4:$D$28,3,FALSE)-P123</f>
        <v>5</v>
      </c>
      <c r="P123" s="116">
        <f t="shared" si="1"/>
        <v>0</v>
      </c>
      <c r="Q123" s="117">
        <f>VLOOKUP(P123,'Points-Score conv.'!$D$4:$E$28,2,TRUE)</f>
        <v>0</v>
      </c>
    </row>
    <row r="124" spans="4:17" ht="12.75">
      <c r="D124" s="111"/>
      <c r="E124" s="63"/>
      <c r="F124" s="63"/>
      <c r="G124" s="63"/>
      <c r="I124" s="66" t="str">
        <f t="shared" si="0"/>
        <v>-</v>
      </c>
      <c r="J124" s="67">
        <f>P124-VLOOKUP(Q124,'Points-Score conv.'!$B$4:$D$28,3,FALSE)</f>
        <v>0</v>
      </c>
      <c r="L124" s="68">
        <f>VLOOKUP(Q124+1,'Points-Score conv.'!$B$4:$D$28,3,FALSE)-P124</f>
        <v>5</v>
      </c>
      <c r="P124" s="116">
        <f t="shared" si="1"/>
        <v>0</v>
      </c>
      <c r="Q124" s="117">
        <f>VLOOKUP(P124,'Points-Score conv.'!$D$4:$E$28,2,TRUE)</f>
        <v>0</v>
      </c>
    </row>
    <row r="125" spans="3:17" ht="12.75">
      <c r="C125" s="64" t="s">
        <v>137</v>
      </c>
      <c r="D125" s="111"/>
      <c r="E125" s="63"/>
      <c r="F125" s="63"/>
      <c r="G125" s="63"/>
      <c r="I125" s="66" t="str">
        <f t="shared" si="0"/>
        <v>-</v>
      </c>
      <c r="J125" s="67">
        <f>P125-VLOOKUP(Q125,'Points-Score conv.'!$B$4:$D$28,3,FALSE)</f>
        <v>0</v>
      </c>
      <c r="L125" s="68">
        <f>VLOOKUP(Q125+1,'Points-Score conv.'!$B$4:$D$28,3,FALSE)-P125</f>
        <v>5</v>
      </c>
      <c r="P125" s="116">
        <f t="shared" si="1"/>
        <v>0</v>
      </c>
      <c r="Q125" s="117">
        <f>VLOOKUP(P125,'Points-Score conv.'!$D$4:$E$28,2,TRUE)</f>
        <v>0</v>
      </c>
    </row>
    <row r="126" spans="4:17" ht="12.75">
      <c r="D126" s="111"/>
      <c r="E126" s="63"/>
      <c r="F126" s="63"/>
      <c r="G126" s="63"/>
      <c r="I126" s="66" t="str">
        <f t="shared" si="0"/>
        <v>-</v>
      </c>
      <c r="J126" s="67">
        <f>P126-VLOOKUP(Q126,'Points-Score conv.'!$B$4:$D$28,3,FALSE)</f>
        <v>0</v>
      </c>
      <c r="L126" s="68">
        <f>VLOOKUP(Q126+1,'Points-Score conv.'!$B$4:$D$28,3,FALSE)-P126</f>
        <v>5</v>
      </c>
      <c r="P126" s="116">
        <f t="shared" si="1"/>
        <v>0</v>
      </c>
      <c r="Q126" s="117">
        <f>VLOOKUP(P126,'Points-Score conv.'!$D$4:$E$28,2,TRUE)</f>
        <v>0</v>
      </c>
    </row>
    <row r="127" spans="4:17" ht="12.75">
      <c r="D127" s="111"/>
      <c r="E127" s="63"/>
      <c r="F127" s="63"/>
      <c r="G127" s="63"/>
      <c r="I127" s="66" t="str">
        <f t="shared" si="0"/>
        <v>-</v>
      </c>
      <c r="J127" s="67">
        <f>P127-VLOOKUP(Q127,'Points-Score conv.'!$B$4:$D$28,3,FALSE)</f>
        <v>0</v>
      </c>
      <c r="L127" s="68">
        <f>VLOOKUP(Q127+1,'Points-Score conv.'!$B$4:$D$28,3,FALSE)-P127</f>
        <v>5</v>
      </c>
      <c r="P127" s="116">
        <f t="shared" si="1"/>
        <v>0</v>
      </c>
      <c r="Q127" s="117">
        <f>VLOOKUP(P127,'Points-Score conv.'!$D$4:$E$28,2,TRUE)</f>
        <v>0</v>
      </c>
    </row>
    <row r="128" spans="4:17" ht="12.75">
      <c r="D128" s="111"/>
      <c r="E128" s="63"/>
      <c r="F128" s="63"/>
      <c r="G128" s="63"/>
      <c r="I128" s="66" t="str">
        <f t="shared" si="0"/>
        <v>-</v>
      </c>
      <c r="J128" s="67">
        <f>P128-VLOOKUP(Q128,'Points-Score conv.'!$B$4:$D$28,3,FALSE)</f>
        <v>0</v>
      </c>
      <c r="L128" s="68">
        <f>VLOOKUP(Q128+1,'Points-Score conv.'!$B$4:$D$28,3,FALSE)-P128</f>
        <v>5</v>
      </c>
      <c r="P128" s="116">
        <f t="shared" si="1"/>
        <v>0</v>
      </c>
      <c r="Q128" s="117">
        <f>VLOOKUP(P128,'Points-Score conv.'!$D$4:$E$28,2,TRUE)</f>
        <v>0</v>
      </c>
    </row>
    <row r="129" spans="3:17" ht="12.75">
      <c r="C129" s="64" t="s">
        <v>138</v>
      </c>
      <c r="D129" s="111"/>
      <c r="E129" s="63"/>
      <c r="F129" s="63"/>
      <c r="G129" s="63"/>
      <c r="I129" s="66" t="str">
        <f t="shared" si="0"/>
        <v>-</v>
      </c>
      <c r="J129" s="67">
        <f>P129-VLOOKUP(Q129,'Points-Score conv.'!$B$4:$D$28,3,FALSE)</f>
        <v>0</v>
      </c>
      <c r="L129" s="68">
        <f>VLOOKUP(Q129+1,'Points-Score conv.'!$B$4:$D$28,3,FALSE)-P129</f>
        <v>5</v>
      </c>
      <c r="P129" s="116">
        <f t="shared" si="1"/>
        <v>0</v>
      </c>
      <c r="Q129" s="117">
        <f>VLOOKUP(P129,'Points-Score conv.'!$D$4:$E$28,2,TRUE)</f>
        <v>0</v>
      </c>
    </row>
    <row r="130" spans="3:17" ht="12.75">
      <c r="C130" s="64" t="s">
        <v>139</v>
      </c>
      <c r="D130" s="63"/>
      <c r="E130" s="63"/>
      <c r="F130" s="63"/>
      <c r="G130" s="63"/>
      <c r="I130" s="66" t="str">
        <f t="shared" si="0"/>
        <v>-</v>
      </c>
      <c r="J130" s="67">
        <f>P130-VLOOKUP(Q130,'Points-Score conv.'!$B$4:$D$28,3,FALSE)</f>
        <v>0</v>
      </c>
      <c r="L130" s="68">
        <f>VLOOKUP(Q130+1,'Points-Score conv.'!$B$4:$D$28,3,FALSE)-P130</f>
        <v>5</v>
      </c>
      <c r="P130" s="116">
        <f t="shared" si="1"/>
        <v>0</v>
      </c>
      <c r="Q130" s="117">
        <f>VLOOKUP(P130,'Points-Score conv.'!$D$4:$E$28,2,TRUE)</f>
        <v>0</v>
      </c>
    </row>
    <row r="131" spans="3:17" ht="12.75">
      <c r="C131" s="64" t="s">
        <v>140</v>
      </c>
      <c r="D131" s="63"/>
      <c r="E131" s="63"/>
      <c r="F131" s="63"/>
      <c r="G131" s="63"/>
      <c r="I131" s="66" t="str">
        <f t="shared" si="0"/>
        <v>-</v>
      </c>
      <c r="J131" s="67">
        <f>P131-VLOOKUP(Q131,'Points-Score conv.'!$B$4:$D$28,3,FALSE)</f>
        <v>0</v>
      </c>
      <c r="L131" s="68">
        <f>VLOOKUP(Q131+1,'Points-Score conv.'!$B$4:$D$28,3,FALSE)-P131</f>
        <v>5</v>
      </c>
      <c r="P131" s="116">
        <f t="shared" si="1"/>
        <v>0</v>
      </c>
      <c r="Q131" s="117">
        <f>VLOOKUP(P131,'Points-Score conv.'!$D$4:$E$28,2,TRUE)</f>
        <v>0</v>
      </c>
    </row>
    <row r="132" spans="3:17" ht="12.75">
      <c r="C132" s="64" t="s">
        <v>141</v>
      </c>
      <c r="D132" s="63"/>
      <c r="E132" s="63"/>
      <c r="F132" s="63"/>
      <c r="G132" s="63"/>
      <c r="I132" s="66" t="str">
        <f t="shared" si="0"/>
        <v>-</v>
      </c>
      <c r="J132" s="67">
        <f>P132-VLOOKUP(Q132,'Points-Score conv.'!$B$4:$D$28,3,FALSE)</f>
        <v>0</v>
      </c>
      <c r="L132" s="68">
        <f>VLOOKUP(Q132+1,'Points-Score conv.'!$B$4:$D$28,3,FALSE)-P132</f>
        <v>5</v>
      </c>
      <c r="P132" s="116">
        <f t="shared" si="1"/>
        <v>0</v>
      </c>
      <c r="Q132" s="117">
        <f>VLOOKUP(P132,'Points-Score conv.'!$D$4:$E$28,2,TRUE)</f>
        <v>0</v>
      </c>
    </row>
    <row r="133" spans="3:17" ht="12.75">
      <c r="C133" s="64" t="s">
        <v>142</v>
      </c>
      <c r="D133" s="111"/>
      <c r="E133" s="63"/>
      <c r="F133" s="63"/>
      <c r="G133" s="63"/>
      <c r="I133" s="66" t="str">
        <f t="shared" si="0"/>
        <v>-</v>
      </c>
      <c r="J133" s="67">
        <f>P133-VLOOKUP(Q133,'Points-Score conv.'!$B$4:$D$28,3,FALSE)</f>
        <v>0</v>
      </c>
      <c r="L133" s="68">
        <f>VLOOKUP(Q133+1,'Points-Score conv.'!$B$4:$D$28,3,FALSE)-P133</f>
        <v>5</v>
      </c>
      <c r="P133" s="116">
        <f t="shared" si="1"/>
        <v>0</v>
      </c>
      <c r="Q133" s="117">
        <f>VLOOKUP(P133,'Points-Score conv.'!$D$4:$E$28,2,TRUE)</f>
        <v>0</v>
      </c>
    </row>
    <row r="134" spans="2:17" ht="12.75">
      <c r="B134" s="65" t="s">
        <v>112</v>
      </c>
      <c r="D134" s="69"/>
      <c r="E134" s="69"/>
      <c r="F134" s="69"/>
      <c r="G134" s="69"/>
      <c r="I134" s="70"/>
      <c r="L134" s="68"/>
      <c r="Q134" s="65"/>
    </row>
    <row r="135" spans="3:17" ht="12.75">
      <c r="C135" s="64" t="s">
        <v>157</v>
      </c>
      <c r="D135" s="111"/>
      <c r="E135" s="63"/>
      <c r="F135" s="63"/>
      <c r="G135" s="63"/>
      <c r="I135" s="66" t="str">
        <f aca="true" t="shared" si="2" ref="I135:I144">IF(P135=0,"-",Q135)</f>
        <v>-</v>
      </c>
      <c r="J135" s="67">
        <f>P135-VLOOKUP(Q135,'Points-Score conv.'!$B$4:$D$28,3,FALSE)</f>
        <v>0</v>
      </c>
      <c r="L135" s="68">
        <f>VLOOKUP(Q135+1,'Points-Score conv.'!$B$4:$D$28,3,FALSE)-P135</f>
        <v>5</v>
      </c>
      <c r="P135" s="116">
        <f aca="true" t="shared" si="3" ref="P135:P144">SUM(D135:G135)</f>
        <v>0</v>
      </c>
      <c r="Q135" s="117">
        <f>VLOOKUP(P135,'Points-Score conv.'!$D$4:$E$28,2,TRUE)</f>
        <v>0</v>
      </c>
    </row>
    <row r="136" spans="3:17" ht="12.75">
      <c r="C136" s="64" t="s">
        <v>158</v>
      </c>
      <c r="D136" s="111"/>
      <c r="E136" s="63"/>
      <c r="F136" s="63"/>
      <c r="G136" s="63"/>
      <c r="I136" s="66" t="str">
        <f t="shared" si="2"/>
        <v>-</v>
      </c>
      <c r="J136" s="67">
        <f>P136-VLOOKUP(Q136,'Points-Score conv.'!$B$4:$D$28,3,FALSE)</f>
        <v>0</v>
      </c>
      <c r="L136" s="68">
        <f>VLOOKUP(Q136+1,'Points-Score conv.'!$B$4:$D$28,3,FALSE)-P136</f>
        <v>5</v>
      </c>
      <c r="P136" s="116">
        <f t="shared" si="3"/>
        <v>0</v>
      </c>
      <c r="Q136" s="117">
        <f>VLOOKUP(P136,'Points-Score conv.'!$D$4:$E$28,2,TRUE)</f>
        <v>0</v>
      </c>
    </row>
    <row r="137" spans="3:17" ht="12.75">
      <c r="C137" s="64" t="s">
        <v>159</v>
      </c>
      <c r="D137" s="111"/>
      <c r="E137" s="63"/>
      <c r="F137" s="63"/>
      <c r="G137" s="63"/>
      <c r="I137" s="66" t="str">
        <f t="shared" si="2"/>
        <v>-</v>
      </c>
      <c r="J137" s="67">
        <f>P137-VLOOKUP(Q137,'Points-Score conv.'!$B$4:$D$28,3,FALSE)</f>
        <v>0</v>
      </c>
      <c r="L137" s="68">
        <f>VLOOKUP(Q137+1,'Points-Score conv.'!$B$4:$D$28,3,FALSE)-P137</f>
        <v>5</v>
      </c>
      <c r="P137" s="116">
        <f t="shared" si="3"/>
        <v>0</v>
      </c>
      <c r="Q137" s="117">
        <f>VLOOKUP(P137,'Points-Score conv.'!$D$4:$E$28,2,TRUE)</f>
        <v>0</v>
      </c>
    </row>
    <row r="138" spans="3:17" ht="12.75">
      <c r="C138" s="64" t="s">
        <v>160</v>
      </c>
      <c r="D138" s="111"/>
      <c r="E138" s="63"/>
      <c r="F138" s="63"/>
      <c r="G138" s="63"/>
      <c r="I138" s="66" t="str">
        <f t="shared" si="2"/>
        <v>-</v>
      </c>
      <c r="J138" s="67">
        <f>P138-VLOOKUP(Q138,'Points-Score conv.'!$B$4:$D$28,3,FALSE)</f>
        <v>0</v>
      </c>
      <c r="L138" s="68">
        <f>VLOOKUP(Q138+1,'Points-Score conv.'!$B$4:$D$28,3,FALSE)-P138</f>
        <v>5</v>
      </c>
      <c r="P138" s="116">
        <f t="shared" si="3"/>
        <v>0</v>
      </c>
      <c r="Q138" s="117">
        <f>VLOOKUP(P138,'Points-Score conv.'!$D$4:$E$28,2,TRUE)</f>
        <v>0</v>
      </c>
    </row>
    <row r="139" spans="3:17" ht="12.75">
      <c r="C139" s="64" t="s">
        <v>248</v>
      </c>
      <c r="D139" s="111"/>
      <c r="E139" s="63"/>
      <c r="F139" s="63"/>
      <c r="G139" s="63"/>
      <c r="I139" s="66" t="str">
        <f t="shared" si="2"/>
        <v>-</v>
      </c>
      <c r="J139" s="67">
        <f>P139-VLOOKUP(Q139,'Points-Score conv.'!$B$4:$D$28,3,FALSE)</f>
        <v>0</v>
      </c>
      <c r="L139" s="68">
        <f>VLOOKUP(Q139+1,'Points-Score conv.'!$B$4:$D$28,3,FALSE)-P139</f>
        <v>5</v>
      </c>
      <c r="P139" s="116">
        <f t="shared" si="3"/>
        <v>0</v>
      </c>
      <c r="Q139" s="117">
        <f>VLOOKUP(P139,'Points-Score conv.'!$D$4:$E$28,2,TRUE)</f>
        <v>0</v>
      </c>
    </row>
    <row r="140" spans="4:17" ht="12.75">
      <c r="D140" s="111"/>
      <c r="E140" s="63"/>
      <c r="F140" s="63"/>
      <c r="G140" s="63"/>
      <c r="I140" s="66" t="str">
        <f t="shared" si="2"/>
        <v>-</v>
      </c>
      <c r="J140" s="67">
        <f>P140-VLOOKUP(Q140,'Points-Score conv.'!$B$4:$D$28,3,FALSE)</f>
        <v>0</v>
      </c>
      <c r="L140" s="68">
        <f>VLOOKUP(Q140+1,'Points-Score conv.'!$B$4:$D$28,3,FALSE)-P140</f>
        <v>5</v>
      </c>
      <c r="P140" s="116">
        <f t="shared" si="3"/>
        <v>0</v>
      </c>
      <c r="Q140" s="117">
        <f>VLOOKUP(P140,'Points-Score conv.'!$D$4:$E$28,2,TRUE)</f>
        <v>0</v>
      </c>
    </row>
    <row r="141" spans="4:17" ht="12.75">
      <c r="D141" s="111"/>
      <c r="E141" s="63"/>
      <c r="F141" s="63"/>
      <c r="G141" s="63"/>
      <c r="I141" s="66" t="str">
        <f t="shared" si="2"/>
        <v>-</v>
      </c>
      <c r="J141" s="67">
        <f>P141-VLOOKUP(Q141,'Points-Score conv.'!$B$4:$D$28,3,FALSE)</f>
        <v>0</v>
      </c>
      <c r="L141" s="68">
        <f>VLOOKUP(Q141+1,'Points-Score conv.'!$B$4:$D$28,3,FALSE)-P141</f>
        <v>5</v>
      </c>
      <c r="P141" s="116">
        <f t="shared" si="3"/>
        <v>0</v>
      </c>
      <c r="Q141" s="117">
        <f>VLOOKUP(P141,'Points-Score conv.'!$D$4:$E$28,2,TRUE)</f>
        <v>0</v>
      </c>
    </row>
    <row r="142" spans="3:17" ht="12.75">
      <c r="C142" s="64" t="s">
        <v>161</v>
      </c>
      <c r="D142" s="111"/>
      <c r="E142" s="63"/>
      <c r="F142" s="63"/>
      <c r="G142" s="63"/>
      <c r="I142" s="66" t="str">
        <f t="shared" si="2"/>
        <v>-</v>
      </c>
      <c r="J142" s="67">
        <f>P142-VLOOKUP(Q142,'Points-Score conv.'!$B$4:$D$28,3,FALSE)</f>
        <v>0</v>
      </c>
      <c r="L142" s="68">
        <f>VLOOKUP(Q142+1,'Points-Score conv.'!$B$4:$D$28,3,FALSE)-P142</f>
        <v>5</v>
      </c>
      <c r="P142" s="116">
        <f t="shared" si="3"/>
        <v>0</v>
      </c>
      <c r="Q142" s="117">
        <f>VLOOKUP(P142,'Points-Score conv.'!$D$4:$E$28,2,TRUE)</f>
        <v>0</v>
      </c>
    </row>
    <row r="143" spans="3:17" ht="12.75">
      <c r="C143" s="64" t="s">
        <v>162</v>
      </c>
      <c r="D143" s="111"/>
      <c r="E143" s="63"/>
      <c r="F143" s="63"/>
      <c r="G143" s="63"/>
      <c r="I143" s="66" t="str">
        <f t="shared" si="2"/>
        <v>-</v>
      </c>
      <c r="J143" s="67">
        <f>P143-VLOOKUP(Q143,'Points-Score conv.'!$B$4:$D$28,3,FALSE)</f>
        <v>0</v>
      </c>
      <c r="L143" s="68">
        <f>VLOOKUP(Q143+1,'Points-Score conv.'!$B$4:$D$28,3,FALSE)-P143</f>
        <v>5</v>
      </c>
      <c r="P143" s="116">
        <f t="shared" si="3"/>
        <v>0</v>
      </c>
      <c r="Q143" s="117">
        <f>VLOOKUP(P143,'Points-Score conv.'!$D$4:$E$28,2,TRUE)</f>
        <v>0</v>
      </c>
    </row>
    <row r="144" spans="3:17" ht="12.75">
      <c r="C144" s="64" t="s">
        <v>163</v>
      </c>
      <c r="D144" s="111"/>
      <c r="E144" s="63"/>
      <c r="F144" s="63"/>
      <c r="G144" s="63"/>
      <c r="I144" s="66" t="str">
        <f t="shared" si="2"/>
        <v>-</v>
      </c>
      <c r="J144" s="67">
        <f>P144-VLOOKUP(Q144,'Points-Score conv.'!$B$4:$D$28,3,FALSE)</f>
        <v>0</v>
      </c>
      <c r="L144" s="68">
        <f>VLOOKUP(Q144+1,'Points-Score conv.'!$B$4:$D$28,3,FALSE)-P144</f>
        <v>5</v>
      </c>
      <c r="P144" s="116">
        <f t="shared" si="3"/>
        <v>0</v>
      </c>
      <c r="Q144" s="117">
        <f>VLOOKUP(P144,'Points-Score conv.'!$D$4:$E$28,2,TRUE)</f>
        <v>0</v>
      </c>
    </row>
    <row r="145" spans="2:17" ht="12.75">
      <c r="B145" s="65" t="s">
        <v>113</v>
      </c>
      <c r="D145" s="69"/>
      <c r="E145" s="69"/>
      <c r="F145" s="69"/>
      <c r="G145" s="69"/>
      <c r="I145" s="70"/>
      <c r="L145" s="68"/>
      <c r="Q145" s="65"/>
    </row>
    <row r="146" spans="3:17" ht="12.75">
      <c r="C146" s="64" t="s">
        <v>164</v>
      </c>
      <c r="D146" s="111"/>
      <c r="E146" s="63"/>
      <c r="F146" s="63"/>
      <c r="G146" s="63"/>
      <c r="I146" s="66" t="str">
        <f aca="true" t="shared" si="4" ref="I146:I154">IF(P146=0,"-",Q146)</f>
        <v>-</v>
      </c>
      <c r="J146" s="67">
        <f>P146-VLOOKUP(Q146,'Points-Score conv.'!$B$4:$D$28,3,FALSE)</f>
        <v>0</v>
      </c>
      <c r="L146" s="68">
        <f>VLOOKUP(Q146+1,'Points-Score conv.'!$B$4:$D$28,3,FALSE)-P146</f>
        <v>5</v>
      </c>
      <c r="P146" s="116">
        <f aca="true" t="shared" si="5" ref="P146:P154">SUM(D146:G146)</f>
        <v>0</v>
      </c>
      <c r="Q146" s="117">
        <f>VLOOKUP(P146,'Points-Score conv.'!$D$4:$E$28,2,TRUE)</f>
        <v>0</v>
      </c>
    </row>
    <row r="147" spans="3:17" ht="12.75">
      <c r="C147" s="64" t="s">
        <v>165</v>
      </c>
      <c r="D147" s="111"/>
      <c r="E147" s="63"/>
      <c r="F147" s="63"/>
      <c r="G147" s="63"/>
      <c r="I147" s="66" t="str">
        <f t="shared" si="4"/>
        <v>-</v>
      </c>
      <c r="J147" s="67">
        <f>P147-VLOOKUP(Q147,'Points-Score conv.'!$B$4:$D$28,3,FALSE)</f>
        <v>0</v>
      </c>
      <c r="L147" s="68">
        <f>VLOOKUP(Q147+1,'Points-Score conv.'!$B$4:$D$28,3,FALSE)-P147</f>
        <v>5</v>
      </c>
      <c r="P147" s="116">
        <f t="shared" si="5"/>
        <v>0</v>
      </c>
      <c r="Q147" s="117">
        <f>VLOOKUP(P147,'Points-Score conv.'!$D$4:$E$28,2,TRUE)</f>
        <v>0</v>
      </c>
    </row>
    <row r="148" spans="3:17" ht="12.75">
      <c r="C148" s="64" t="s">
        <v>166</v>
      </c>
      <c r="D148" s="111"/>
      <c r="E148" s="63"/>
      <c r="F148" s="63"/>
      <c r="G148" s="63"/>
      <c r="I148" s="66" t="str">
        <f t="shared" si="4"/>
        <v>-</v>
      </c>
      <c r="J148" s="67">
        <f>P148-VLOOKUP(Q148,'Points-Score conv.'!$B$4:$D$28,3,FALSE)</f>
        <v>0</v>
      </c>
      <c r="L148" s="68">
        <f>VLOOKUP(Q148+1,'Points-Score conv.'!$B$4:$D$28,3,FALSE)-P148</f>
        <v>5</v>
      </c>
      <c r="P148" s="116">
        <f t="shared" si="5"/>
        <v>0</v>
      </c>
      <c r="Q148" s="117">
        <f>VLOOKUP(P148,'Points-Score conv.'!$D$4:$E$28,2,TRUE)</f>
        <v>0</v>
      </c>
    </row>
    <row r="149" spans="3:17" ht="12.75">
      <c r="C149" s="64" t="s">
        <v>167</v>
      </c>
      <c r="D149" s="111"/>
      <c r="E149" s="63"/>
      <c r="F149" s="63"/>
      <c r="G149" s="63"/>
      <c r="I149" s="66" t="str">
        <f t="shared" si="4"/>
        <v>-</v>
      </c>
      <c r="J149" s="67">
        <f>P149-VLOOKUP(Q149,'Points-Score conv.'!$B$4:$D$28,3,FALSE)</f>
        <v>0</v>
      </c>
      <c r="L149" s="68">
        <f>VLOOKUP(Q149+1,'Points-Score conv.'!$B$4:$D$28,3,FALSE)-P149</f>
        <v>5</v>
      </c>
      <c r="P149" s="116">
        <f t="shared" si="5"/>
        <v>0</v>
      </c>
      <c r="Q149" s="117">
        <f>VLOOKUP(P149,'Points-Score conv.'!$D$4:$E$28,2,TRUE)</f>
        <v>0</v>
      </c>
    </row>
    <row r="150" spans="3:17" ht="12.75">
      <c r="C150" s="64" t="s">
        <v>168</v>
      </c>
      <c r="D150" s="111"/>
      <c r="E150" s="63"/>
      <c r="F150" s="63"/>
      <c r="G150" s="63"/>
      <c r="I150" s="66" t="str">
        <f t="shared" si="4"/>
        <v>-</v>
      </c>
      <c r="J150" s="67">
        <f>P150-VLOOKUP(Q150,'Points-Score conv.'!$B$4:$D$28,3,FALSE)</f>
        <v>0</v>
      </c>
      <c r="L150" s="68">
        <f>VLOOKUP(Q150+1,'Points-Score conv.'!$B$4:$D$28,3,FALSE)-P150</f>
        <v>5</v>
      </c>
      <c r="P150" s="116">
        <f t="shared" si="5"/>
        <v>0</v>
      </c>
      <c r="Q150" s="117">
        <f>VLOOKUP(P150,'Points-Score conv.'!$D$4:$E$28,2,TRUE)</f>
        <v>0</v>
      </c>
    </row>
    <row r="151" spans="3:17" ht="12.75">
      <c r="C151" s="64" t="s">
        <v>169</v>
      </c>
      <c r="D151" s="111"/>
      <c r="E151" s="63"/>
      <c r="F151" s="63"/>
      <c r="G151" s="63"/>
      <c r="I151" s="66" t="str">
        <f t="shared" si="4"/>
        <v>-</v>
      </c>
      <c r="J151" s="67">
        <f>P151-VLOOKUP(Q151,'Points-Score conv.'!$B$4:$D$28,3,FALSE)</f>
        <v>0</v>
      </c>
      <c r="L151" s="68">
        <f>VLOOKUP(Q151+1,'Points-Score conv.'!$B$4:$D$28,3,FALSE)-P151</f>
        <v>5</v>
      </c>
      <c r="P151" s="116">
        <f t="shared" si="5"/>
        <v>0</v>
      </c>
      <c r="Q151" s="117">
        <f>VLOOKUP(P151,'Points-Score conv.'!$D$4:$E$28,2,TRUE)</f>
        <v>0</v>
      </c>
    </row>
    <row r="152" spans="3:17" ht="12.75">
      <c r="C152" s="64" t="s">
        <v>247</v>
      </c>
      <c r="D152" s="111"/>
      <c r="E152" s="63"/>
      <c r="F152" s="63"/>
      <c r="G152" s="63"/>
      <c r="I152" s="66" t="str">
        <f t="shared" si="4"/>
        <v>-</v>
      </c>
      <c r="J152" s="67">
        <f>P152-VLOOKUP(Q152,'Points-Score conv.'!$B$4:$D$28,3,FALSE)</f>
        <v>0</v>
      </c>
      <c r="L152" s="68">
        <f>VLOOKUP(Q152+1,'Points-Score conv.'!$B$4:$D$28,3,FALSE)-P152</f>
        <v>5</v>
      </c>
      <c r="P152" s="116">
        <f t="shared" si="5"/>
        <v>0</v>
      </c>
      <c r="Q152" s="117">
        <f>VLOOKUP(P152,'Points-Score conv.'!$D$4:$E$28,2,TRUE)</f>
        <v>0</v>
      </c>
    </row>
    <row r="153" spans="3:17" ht="12.75">
      <c r="C153" s="64" t="s">
        <v>170</v>
      </c>
      <c r="D153" s="111"/>
      <c r="E153" s="63"/>
      <c r="F153" s="79">
        <f>IF(MAGUS,5,0)</f>
        <v>0</v>
      </c>
      <c r="G153" s="63"/>
      <c r="I153" s="66" t="str">
        <f t="shared" si="4"/>
        <v>-</v>
      </c>
      <c r="J153" s="67">
        <f>P153-VLOOKUP(Q153,'Points-Score conv.'!$B$4:$D$28,3,FALSE)</f>
        <v>0</v>
      </c>
      <c r="L153" s="68">
        <f>VLOOKUP(Q153+1,'Points-Score conv.'!$B$4:$D$28,3,FALSE)-P153</f>
        <v>5</v>
      </c>
      <c r="P153" s="116">
        <f t="shared" si="5"/>
        <v>0</v>
      </c>
      <c r="Q153" s="117">
        <f>VLOOKUP(P153,'Points-Score conv.'!$D$4:$E$28,2,TRUE)</f>
        <v>0</v>
      </c>
    </row>
    <row r="154" spans="3:17" ht="12.75">
      <c r="C154" s="64" t="s">
        <v>171</v>
      </c>
      <c r="D154" s="111"/>
      <c r="E154" s="63"/>
      <c r="F154" s="63"/>
      <c r="G154" s="63"/>
      <c r="I154" s="66" t="str">
        <f t="shared" si="4"/>
        <v>-</v>
      </c>
      <c r="J154" s="67">
        <f>P154-VLOOKUP(Q154,'Points-Score conv.'!$B$4:$D$28,3,FALSE)</f>
        <v>0</v>
      </c>
      <c r="L154" s="68">
        <f>VLOOKUP(Q154+1,'Points-Score conv.'!$B$4:$D$28,3,FALSE)-P154</f>
        <v>5</v>
      </c>
      <c r="P154" s="116">
        <f t="shared" si="5"/>
        <v>0</v>
      </c>
      <c r="Q154" s="117">
        <f>VLOOKUP(P154,'Points-Score conv.'!$D$4:$E$28,2,TRUE)</f>
        <v>0</v>
      </c>
    </row>
    <row r="155" spans="2:17" ht="12.75">
      <c r="B155" s="65" t="s">
        <v>114</v>
      </c>
      <c r="D155" s="69"/>
      <c r="E155" s="69"/>
      <c r="F155" s="69"/>
      <c r="G155" s="69"/>
      <c r="I155" s="70"/>
      <c r="L155" s="68"/>
      <c r="Q155" s="65"/>
    </row>
    <row r="156" spans="3:17" ht="12.75">
      <c r="C156" s="64" t="s">
        <v>172</v>
      </c>
      <c r="D156" s="111"/>
      <c r="E156" s="63"/>
      <c r="F156" s="63"/>
      <c r="G156" s="63"/>
      <c r="I156" s="66" t="str">
        <f>IF(P156=0,"-",Q156)</f>
        <v>-</v>
      </c>
      <c r="J156" s="67">
        <f>P156-VLOOKUP(Q156,'Points-Score conv.'!$B$4:$D$28,3,FALSE)</f>
        <v>0</v>
      </c>
      <c r="L156" s="68">
        <f>VLOOKUP(Q156+1,'Points-Score conv.'!$B$4:$D$28,3,FALSE)-P156</f>
        <v>5</v>
      </c>
      <c r="P156" s="116">
        <f>SUM(D156:G156)</f>
        <v>0</v>
      </c>
      <c r="Q156" s="117">
        <f>VLOOKUP(P156,'Points-Score conv.'!$D$4:$E$28,2,TRUE)</f>
        <v>0</v>
      </c>
    </row>
    <row r="157" spans="3:17" ht="12.75">
      <c r="C157" s="64" t="s">
        <v>173</v>
      </c>
      <c r="D157" s="111"/>
      <c r="E157" s="63"/>
      <c r="F157" s="63"/>
      <c r="G157" s="63"/>
      <c r="I157" s="66" t="str">
        <f>IF(P157=0,"-",Q157)</f>
        <v>-</v>
      </c>
      <c r="J157" s="67">
        <f>P157-VLOOKUP(Q157,'Points-Score conv.'!$B$4:$D$28,3,FALSE)</f>
        <v>0</v>
      </c>
      <c r="L157" s="68">
        <f>VLOOKUP(Q157+1,'Points-Score conv.'!$B$4:$D$28,3,FALSE)-P157</f>
        <v>5</v>
      </c>
      <c r="P157" s="116">
        <f>SUM(D157:G157)</f>
        <v>0</v>
      </c>
      <c r="Q157" s="117">
        <f>VLOOKUP(P157,'Points-Score conv.'!$D$4:$E$28,2,TRUE)</f>
        <v>0</v>
      </c>
    </row>
    <row r="158" spans="3:17" ht="12.75">
      <c r="C158" s="64" t="s">
        <v>174</v>
      </c>
      <c r="D158" s="111"/>
      <c r="E158" s="63"/>
      <c r="F158" s="63"/>
      <c r="G158" s="63"/>
      <c r="I158" s="66" t="str">
        <f>IF(P158=0,"-",Q158)</f>
        <v>-</v>
      </c>
      <c r="J158" s="67">
        <f>P158-VLOOKUP(Q158,'Points-Score conv.'!$B$4:$D$28,3,FALSE)</f>
        <v>0</v>
      </c>
      <c r="L158" s="68">
        <f>VLOOKUP(Q158+1,'Points-Score conv.'!$B$4:$D$28,3,FALSE)-P158</f>
        <v>5</v>
      </c>
      <c r="P158" s="116">
        <f>SUM(D158:G158)</f>
        <v>0</v>
      </c>
      <c r="Q158" s="117">
        <f>VLOOKUP(P158,'Points-Score conv.'!$D$4:$E$28,2,TRUE)</f>
        <v>0</v>
      </c>
    </row>
    <row r="159" spans="3:17" ht="12.75">
      <c r="C159" s="64" t="s">
        <v>175</v>
      </c>
      <c r="D159" s="111"/>
      <c r="E159" s="63"/>
      <c r="F159" s="63"/>
      <c r="G159" s="63"/>
      <c r="I159" s="66" t="str">
        <f>IF(P159=0,"-",Q159)</f>
        <v>-</v>
      </c>
      <c r="J159" s="67">
        <f>P159-VLOOKUP(Q159,'Points-Score conv.'!$B$4:$D$28,3,FALSE)</f>
        <v>0</v>
      </c>
      <c r="L159" s="68">
        <f>VLOOKUP(Q159+1,'Points-Score conv.'!$B$4:$D$28,3,FALSE)-P159</f>
        <v>5</v>
      </c>
      <c r="P159" s="116">
        <f>SUM(D159:G159)</f>
        <v>0</v>
      </c>
      <c r="Q159" s="117">
        <f>VLOOKUP(P159,'Points-Score conv.'!$D$4:$E$28,2,TRUE)</f>
        <v>0</v>
      </c>
    </row>
    <row r="160" spans="2:17" ht="12.75">
      <c r="B160" s="65" t="s">
        <v>115</v>
      </c>
      <c r="D160" s="69"/>
      <c r="E160" s="69"/>
      <c r="F160" s="69"/>
      <c r="G160" s="69"/>
      <c r="I160" s="70"/>
      <c r="L160" s="68"/>
      <c r="Q160" s="65"/>
    </row>
    <row r="161" spans="3:17" ht="12.75">
      <c r="C161" s="64" t="s">
        <v>176</v>
      </c>
      <c r="D161" s="111"/>
      <c r="E161" s="63"/>
      <c r="F161" s="63"/>
      <c r="G161" s="63"/>
      <c r="I161" s="66" t="str">
        <f aca="true" t="shared" si="6" ref="I161:I170">IF(P161=0,"-",Q161)</f>
        <v>-</v>
      </c>
      <c r="J161" s="67">
        <f>P161-VLOOKUP(Q161,'Points-Score conv.'!$B$4:$D$28,3,FALSE)</f>
        <v>0</v>
      </c>
      <c r="L161" s="68">
        <f>VLOOKUP(Q161+1,'Points-Score conv.'!$B$4:$D$28,3,FALSE)-P161</f>
        <v>5</v>
      </c>
      <c r="P161" s="116">
        <f aca="true" t="shared" si="7" ref="P161:P170">SUM(D161:G161)</f>
        <v>0</v>
      </c>
      <c r="Q161" s="117">
        <f>VLOOKUP(P161,'Points-Score conv.'!$D$4:$E$28,2,TRUE)</f>
        <v>0</v>
      </c>
    </row>
    <row r="162" spans="3:17" ht="12.75">
      <c r="C162" s="64" t="s">
        <v>177</v>
      </c>
      <c r="D162" s="111"/>
      <c r="E162" s="63"/>
      <c r="F162" s="63"/>
      <c r="G162" s="63"/>
      <c r="I162" s="66" t="str">
        <f t="shared" si="6"/>
        <v>-</v>
      </c>
      <c r="J162" s="67">
        <f>P162-VLOOKUP(Q162,'Points-Score conv.'!$B$4:$D$28,3,FALSE)</f>
        <v>0</v>
      </c>
      <c r="L162" s="68">
        <f>VLOOKUP(Q162+1,'Points-Score conv.'!$B$4:$D$28,3,FALSE)-P162</f>
        <v>5</v>
      </c>
      <c r="P162" s="116">
        <f t="shared" si="7"/>
        <v>0</v>
      </c>
      <c r="Q162" s="117">
        <f>VLOOKUP(P162,'Points-Score conv.'!$D$4:$E$28,2,TRUE)</f>
        <v>0</v>
      </c>
    </row>
    <row r="163" spans="3:17" ht="12.75">
      <c r="C163" s="64" t="s">
        <v>178</v>
      </c>
      <c r="D163" s="111"/>
      <c r="E163" s="63"/>
      <c r="F163" s="63"/>
      <c r="G163" s="63"/>
      <c r="I163" s="66" t="str">
        <f t="shared" si="6"/>
        <v>-</v>
      </c>
      <c r="J163" s="67">
        <f>P163-VLOOKUP(Q163,'Points-Score conv.'!$B$4:$D$28,3,FALSE)</f>
        <v>0</v>
      </c>
      <c r="L163" s="68">
        <f>VLOOKUP(Q163+1,'Points-Score conv.'!$B$4:$D$28,3,FALSE)-P163</f>
        <v>5</v>
      </c>
      <c r="P163" s="116">
        <f t="shared" si="7"/>
        <v>0</v>
      </c>
      <c r="Q163" s="117">
        <f>VLOOKUP(P163,'Points-Score conv.'!$D$4:$E$28,2,TRUE)</f>
        <v>0</v>
      </c>
    </row>
    <row r="164" spans="3:17" ht="12.75">
      <c r="C164" s="64" t="s">
        <v>179</v>
      </c>
      <c r="D164" s="111"/>
      <c r="E164" s="63"/>
      <c r="F164" s="63"/>
      <c r="G164" s="63"/>
      <c r="I164" s="66" t="str">
        <f t="shared" si="6"/>
        <v>-</v>
      </c>
      <c r="J164" s="67">
        <f>P164-VLOOKUP(Q164,'Points-Score conv.'!$B$4:$D$28,3,FALSE)</f>
        <v>0</v>
      </c>
      <c r="L164" s="68">
        <f>VLOOKUP(Q164+1,'Points-Score conv.'!$B$4:$D$28,3,FALSE)-P164</f>
        <v>5</v>
      </c>
      <c r="P164" s="116">
        <f t="shared" si="7"/>
        <v>0</v>
      </c>
      <c r="Q164" s="117">
        <f>VLOOKUP(P164,'Points-Score conv.'!$D$4:$E$28,2,TRUE)</f>
        <v>0</v>
      </c>
    </row>
    <row r="165" spans="3:17" ht="12.75">
      <c r="C165" s="64" t="s">
        <v>180</v>
      </c>
      <c r="D165" s="111"/>
      <c r="E165" s="63"/>
      <c r="F165" s="63"/>
      <c r="G165" s="63"/>
      <c r="I165" s="66" t="str">
        <f t="shared" si="6"/>
        <v>-</v>
      </c>
      <c r="J165" s="67">
        <f>P165-VLOOKUP(Q165,'Points-Score conv.'!$B$4:$D$28,3,FALSE)</f>
        <v>0</v>
      </c>
      <c r="L165" s="68">
        <f>VLOOKUP(Q165+1,'Points-Score conv.'!$B$4:$D$28,3,FALSE)-P165</f>
        <v>5</v>
      </c>
      <c r="P165" s="116">
        <f t="shared" si="7"/>
        <v>0</v>
      </c>
      <c r="Q165" s="117">
        <f>VLOOKUP(P165,'Points-Score conv.'!$D$4:$E$28,2,TRUE)</f>
        <v>0</v>
      </c>
    </row>
    <row r="166" spans="3:17" ht="12.75">
      <c r="C166" s="64" t="s">
        <v>181</v>
      </c>
      <c r="D166" s="111"/>
      <c r="E166" s="63"/>
      <c r="F166" s="63"/>
      <c r="G166" s="63"/>
      <c r="I166" s="66" t="str">
        <f t="shared" si="6"/>
        <v>-</v>
      </c>
      <c r="J166" s="67">
        <f>P166-VLOOKUP(Q166,'Points-Score conv.'!$B$4:$D$28,3,FALSE)</f>
        <v>0</v>
      </c>
      <c r="L166" s="68">
        <f>VLOOKUP(Q166+1,'Points-Score conv.'!$B$4:$D$28,3,FALSE)-P166</f>
        <v>5</v>
      </c>
      <c r="P166" s="116">
        <f t="shared" si="7"/>
        <v>0</v>
      </c>
      <c r="Q166" s="117">
        <f>VLOOKUP(P166,'Points-Score conv.'!$D$4:$E$28,2,TRUE)</f>
        <v>0</v>
      </c>
    </row>
    <row r="167" spans="3:17" ht="12.75">
      <c r="C167" s="64" t="s">
        <v>182</v>
      </c>
      <c r="D167" s="111"/>
      <c r="E167" s="63"/>
      <c r="F167" s="63"/>
      <c r="G167" s="63"/>
      <c r="I167" s="66" t="str">
        <f t="shared" si="6"/>
        <v>-</v>
      </c>
      <c r="J167" s="67">
        <f>P167-VLOOKUP(Q167,'Points-Score conv.'!$B$4:$D$28,3,FALSE)</f>
        <v>0</v>
      </c>
      <c r="L167" s="68">
        <f>VLOOKUP(Q167+1,'Points-Score conv.'!$B$4:$D$28,3,FALSE)-P167</f>
        <v>5</v>
      </c>
      <c r="P167" s="116">
        <f t="shared" si="7"/>
        <v>0</v>
      </c>
      <c r="Q167" s="117">
        <f>VLOOKUP(P167,'Points-Score conv.'!$D$4:$E$28,2,TRUE)</f>
        <v>0</v>
      </c>
    </row>
    <row r="168" spans="3:17" ht="12.75">
      <c r="C168" s="64" t="s">
        <v>183</v>
      </c>
      <c r="D168" s="111"/>
      <c r="E168" s="63"/>
      <c r="F168" s="63"/>
      <c r="G168" s="63"/>
      <c r="I168" s="66" t="str">
        <f t="shared" si="6"/>
        <v>-</v>
      </c>
      <c r="J168" s="67">
        <f>P168-VLOOKUP(Q168,'Points-Score conv.'!$B$4:$D$28,3,FALSE)</f>
        <v>0</v>
      </c>
      <c r="L168" s="68">
        <f>VLOOKUP(Q168+1,'Points-Score conv.'!$B$4:$D$28,3,FALSE)-P168</f>
        <v>5</v>
      </c>
      <c r="P168" s="116">
        <f t="shared" si="7"/>
        <v>0</v>
      </c>
      <c r="Q168" s="117">
        <f>VLOOKUP(P168,'Points-Score conv.'!$D$4:$E$28,2,TRUE)</f>
        <v>0</v>
      </c>
    </row>
    <row r="169" spans="3:17" ht="12.75">
      <c r="C169" s="64" t="s">
        <v>184</v>
      </c>
      <c r="D169" s="111"/>
      <c r="E169" s="63"/>
      <c r="F169" s="63"/>
      <c r="G169" s="63"/>
      <c r="I169" s="66" t="str">
        <f t="shared" si="6"/>
        <v>-</v>
      </c>
      <c r="J169" s="67">
        <f>P169-VLOOKUP(Q169,'Points-Score conv.'!$B$4:$D$28,3,FALSE)</f>
        <v>0</v>
      </c>
      <c r="L169" s="68">
        <f>VLOOKUP(Q169+1,'Points-Score conv.'!$B$4:$D$28,3,FALSE)-P169</f>
        <v>5</v>
      </c>
      <c r="P169" s="116">
        <f t="shared" si="7"/>
        <v>0</v>
      </c>
      <c r="Q169" s="117">
        <f>VLOOKUP(P169,'Points-Score conv.'!$D$4:$E$28,2,TRUE)</f>
        <v>0</v>
      </c>
    </row>
    <row r="170" spans="3:17" ht="12.75">
      <c r="C170" s="64" t="s">
        <v>185</v>
      </c>
      <c r="D170" s="111"/>
      <c r="E170" s="63"/>
      <c r="F170" s="63"/>
      <c r="G170" s="63"/>
      <c r="I170" s="66" t="str">
        <f t="shared" si="6"/>
        <v>-</v>
      </c>
      <c r="J170" s="67">
        <f>P170-VLOOKUP(Q170,'Points-Score conv.'!$B$4:$D$28,3,FALSE)</f>
        <v>0</v>
      </c>
      <c r="L170" s="68">
        <f>VLOOKUP(Q170+1,'Points-Score conv.'!$B$4:$D$28,3,FALSE)-P170</f>
        <v>5</v>
      </c>
      <c r="P170" s="116">
        <f t="shared" si="7"/>
        <v>0</v>
      </c>
      <c r="Q170" s="117">
        <f>VLOOKUP(P170,'Points-Score conv.'!$D$4:$E$28,2,TRUE)</f>
        <v>0</v>
      </c>
    </row>
    <row r="172" ht="12.75">
      <c r="B172" s="65" t="s">
        <v>223</v>
      </c>
    </row>
    <row r="173" spans="2:17" ht="101.25" customHeight="1">
      <c r="B173" s="72"/>
      <c r="C173" s="87"/>
      <c r="D173" s="80"/>
      <c r="E173" s="80"/>
      <c r="F173" s="81" t="s">
        <v>190</v>
      </c>
      <c r="G173" s="81" t="s">
        <v>206</v>
      </c>
      <c r="H173" s="65"/>
      <c r="I173" s="82" t="s">
        <v>111</v>
      </c>
      <c r="J173" s="83" t="s">
        <v>224</v>
      </c>
      <c r="K173" s="83"/>
      <c r="L173" s="83" t="s">
        <v>191</v>
      </c>
      <c r="P173" s="82" t="s">
        <v>110</v>
      </c>
      <c r="Q173" s="82" t="s">
        <v>111</v>
      </c>
    </row>
    <row r="174" spans="1:19" s="90" customFormat="1" ht="12.75">
      <c r="A174" s="77"/>
      <c r="B174" s="88"/>
      <c r="D174" s="65" t="s">
        <v>246</v>
      </c>
      <c r="E174" s="89"/>
      <c r="F174" s="62">
        <f>F87</f>
        <v>0</v>
      </c>
      <c r="G174" s="62">
        <f>G87</f>
        <v>0</v>
      </c>
      <c r="H174" s="89"/>
      <c r="I174" s="89"/>
      <c r="J174" s="89"/>
      <c r="K174" s="89"/>
      <c r="L174" s="89"/>
      <c r="N174" s="132"/>
      <c r="P174" s="89"/>
      <c r="Q174" s="89"/>
      <c r="S174" s="132"/>
    </row>
    <row r="175" spans="1:19" s="90" customFormat="1" ht="12.75">
      <c r="A175" s="77"/>
      <c r="B175" s="88"/>
      <c r="D175" s="65"/>
      <c r="E175" s="89"/>
      <c r="F175" s="106"/>
      <c r="G175" s="106"/>
      <c r="H175" s="89"/>
      <c r="I175" s="130"/>
      <c r="J175" s="89"/>
      <c r="K175" s="89"/>
      <c r="L175" s="89"/>
      <c r="N175" s="132"/>
      <c r="P175" s="89"/>
      <c r="Q175" s="89"/>
      <c r="S175" s="132"/>
    </row>
    <row r="176" spans="1:24" s="90" customFormat="1" ht="12.75" customHeight="1">
      <c r="A176" s="77"/>
      <c r="B176" s="88"/>
      <c r="D176" s="65" t="s">
        <v>243</v>
      </c>
      <c r="E176" s="89"/>
      <c r="F176" s="120">
        <f>F89</f>
        <v>5</v>
      </c>
      <c r="G176" s="120">
        <f>G89</f>
        <v>5</v>
      </c>
      <c r="H176" s="89"/>
      <c r="I176" s="120">
        <f>G176</f>
        <v>5</v>
      </c>
      <c r="J176" s="89"/>
      <c r="K176" s="89"/>
      <c r="L176" s="89"/>
      <c r="N176" s="132"/>
      <c r="P176" s="89"/>
      <c r="Q176" s="89"/>
      <c r="S176" s="132"/>
      <c r="U176" s="64"/>
      <c r="V176" s="64"/>
      <c r="W176" s="64"/>
      <c r="X176" s="64"/>
    </row>
    <row r="177" spans="1:19" s="90" customFormat="1" ht="12.75">
      <c r="A177" s="77"/>
      <c r="B177" s="88"/>
      <c r="D177" s="89"/>
      <c r="E177" s="89"/>
      <c r="F177" s="89"/>
      <c r="G177" s="89"/>
      <c r="H177" s="89"/>
      <c r="I177" s="89"/>
      <c r="J177" s="89"/>
      <c r="K177" s="89"/>
      <c r="L177" s="89"/>
      <c r="N177" s="132"/>
      <c r="P177" s="89"/>
      <c r="Q177" s="89"/>
      <c r="S177" s="132"/>
    </row>
    <row r="178" spans="2:17" ht="12.75" customHeight="1">
      <c r="B178" s="87"/>
      <c r="D178" s="91" t="s">
        <v>230</v>
      </c>
      <c r="F178" s="69" t="s">
        <v>211</v>
      </c>
      <c r="G178" s="69" t="s">
        <v>211</v>
      </c>
      <c r="H178" s="92"/>
      <c r="I178" s="77" t="s">
        <v>111</v>
      </c>
      <c r="J178" s="69" t="s">
        <v>211</v>
      </c>
      <c r="L178" s="69" t="s">
        <v>212</v>
      </c>
      <c r="P178" s="69" t="s">
        <v>211</v>
      </c>
      <c r="Q178" s="77" t="s">
        <v>111</v>
      </c>
    </row>
    <row r="179" spans="2:17" ht="12.75">
      <c r="B179" s="87"/>
      <c r="E179" s="93" t="s">
        <v>143</v>
      </c>
      <c r="F179" s="63"/>
      <c r="G179" s="63"/>
      <c r="H179" s="92"/>
      <c r="I179" s="66" t="str">
        <f>IF(P179=0,"-",Q179)</f>
        <v>-</v>
      </c>
      <c r="J179" s="67">
        <f>P179-VLOOKUP(Q179,'Points-Score conv.'!$B$4:$C$28,2,FALSE)</f>
        <v>0</v>
      </c>
      <c r="L179" s="68">
        <f>VLOOKUP(Q179+1,'Points-Score conv.'!$B$4:$C$28,2,FALSE)-P179</f>
        <v>1</v>
      </c>
      <c r="P179" s="116">
        <f>SUM(F179:G179)</f>
        <v>0</v>
      </c>
      <c r="Q179" s="117">
        <f>VLOOKUP(P179,'Points-Score conv.'!$C$4:$E$28,3,TRUE)</f>
        <v>0</v>
      </c>
    </row>
    <row r="180" spans="2:17" ht="12.75">
      <c r="B180" s="87"/>
      <c r="E180" s="93" t="s">
        <v>144</v>
      </c>
      <c r="F180" s="63"/>
      <c r="G180" s="63"/>
      <c r="H180" s="92"/>
      <c r="I180" s="66" t="str">
        <f>IF(P180=0,"-",Q180)</f>
        <v>-</v>
      </c>
      <c r="J180" s="67">
        <f>P180-VLOOKUP(Q180,'Points-Score conv.'!$B$4:$C$28,2,FALSE)</f>
        <v>0</v>
      </c>
      <c r="L180" s="68">
        <f>VLOOKUP(Q180+1,'Points-Score conv.'!$B$4:$C$28,2,FALSE)-P180</f>
        <v>1</v>
      </c>
      <c r="P180" s="116">
        <f>SUM(F180:G180)</f>
        <v>0</v>
      </c>
      <c r="Q180" s="117">
        <f>VLOOKUP(P180,'Points-Score conv.'!$C$4:$E$28,3,TRUE)</f>
        <v>0</v>
      </c>
    </row>
    <row r="181" spans="2:17" ht="12.75">
      <c r="B181" s="87"/>
      <c r="E181" s="93" t="s">
        <v>145</v>
      </c>
      <c r="F181" s="63"/>
      <c r="G181" s="63"/>
      <c r="H181" s="92"/>
      <c r="I181" s="66" t="str">
        <f>IF(P181=0,"-",Q181)</f>
        <v>-</v>
      </c>
      <c r="J181" s="67">
        <f>P181-VLOOKUP(Q181,'Points-Score conv.'!$B$4:$C$28,2,FALSE)</f>
        <v>0</v>
      </c>
      <c r="L181" s="68">
        <f>VLOOKUP(Q181+1,'Points-Score conv.'!$B$4:$C$28,2,FALSE)-P181</f>
        <v>1</v>
      </c>
      <c r="P181" s="116">
        <f>SUM(F181:G181)</f>
        <v>0</v>
      </c>
      <c r="Q181" s="117">
        <f>VLOOKUP(P181,'Points-Score conv.'!$C$4:$E$28,3,TRUE)</f>
        <v>0</v>
      </c>
    </row>
    <row r="182" spans="2:22" ht="12.75">
      <c r="B182" s="87"/>
      <c r="E182" s="93" t="s">
        <v>146</v>
      </c>
      <c r="F182" s="63"/>
      <c r="G182" s="63"/>
      <c r="H182" s="92"/>
      <c r="I182" s="66" t="str">
        <f>IF(P182=0,"-",Q182)</f>
        <v>-</v>
      </c>
      <c r="J182" s="67">
        <f>P182-VLOOKUP(Q182,'Points-Score conv.'!$B$4:$C$28,2,FALSE)</f>
        <v>0</v>
      </c>
      <c r="L182" s="68">
        <f>VLOOKUP(Q182+1,'Points-Score conv.'!$B$4:$C$28,2,FALSE)-P182</f>
        <v>1</v>
      </c>
      <c r="P182" s="116">
        <f>SUM(F182:G182)</f>
        <v>0</v>
      </c>
      <c r="Q182" s="117">
        <f>VLOOKUP(P182,'Points-Score conv.'!$C$4:$E$28,3,TRUE)</f>
        <v>0</v>
      </c>
      <c r="S182" s="149"/>
      <c r="T182" s="104"/>
      <c r="U182" s="104"/>
      <c r="V182" s="104"/>
    </row>
    <row r="183" spans="2:17" ht="12.75">
      <c r="B183" s="87"/>
      <c r="E183" s="93" t="s">
        <v>147</v>
      </c>
      <c r="F183" s="63"/>
      <c r="G183" s="63"/>
      <c r="H183" s="92"/>
      <c r="I183" s="66" t="str">
        <f>IF(P183=0,"-",Q183)</f>
        <v>-</v>
      </c>
      <c r="J183" s="67">
        <f>P183-VLOOKUP(Q183,'Points-Score conv.'!$B$4:$C$28,2,FALSE)</f>
        <v>0</v>
      </c>
      <c r="L183" s="68">
        <f>VLOOKUP(Q183+1,'Points-Score conv.'!$B$4:$C$28,2,FALSE)-P183</f>
        <v>1</v>
      </c>
      <c r="P183" s="116">
        <f>SUM(F183:G183)</f>
        <v>0</v>
      </c>
      <c r="Q183" s="117">
        <f>VLOOKUP(P183,'Points-Score conv.'!$C$4:$E$28,3,TRUE)</f>
        <v>0</v>
      </c>
    </row>
    <row r="184" spans="2:17" ht="12.75">
      <c r="B184" s="87"/>
      <c r="D184" s="94" t="s">
        <v>194</v>
      </c>
      <c r="F184" s="95"/>
      <c r="G184" s="95"/>
      <c r="H184" s="92"/>
      <c r="I184" s="70"/>
      <c r="L184" s="68"/>
      <c r="P184" s="92"/>
      <c r="Q184" s="65"/>
    </row>
    <row r="185" spans="2:17" ht="12.75">
      <c r="B185" s="87"/>
      <c r="E185" s="93" t="s">
        <v>148</v>
      </c>
      <c r="F185" s="63"/>
      <c r="G185" s="63"/>
      <c r="H185" s="92"/>
      <c r="I185" s="66" t="str">
        <f aca="true" t="shared" si="8" ref="I185:I194">IF(P185=0,"-",Q185)</f>
        <v>-</v>
      </c>
      <c r="J185" s="67">
        <f>P185-VLOOKUP(Q185,'Points-Score conv.'!$B$4:$C$28,2,FALSE)</f>
        <v>0</v>
      </c>
      <c r="L185" s="68">
        <f>VLOOKUP(Q185+1,'Points-Score conv.'!$B$4:$C$28,2,FALSE)-P185</f>
        <v>1</v>
      </c>
      <c r="P185" s="116">
        <f aca="true" t="shared" si="9" ref="P185:P194">SUM(F185:G185)</f>
        <v>0</v>
      </c>
      <c r="Q185" s="117">
        <f>VLOOKUP(P185,'Points-Score conv.'!$C$4:$E$28,3,TRUE)</f>
        <v>0</v>
      </c>
    </row>
    <row r="186" spans="2:17" ht="12.75">
      <c r="B186" s="87"/>
      <c r="E186" s="96" t="s">
        <v>193</v>
      </c>
      <c r="F186" s="63"/>
      <c r="G186" s="63"/>
      <c r="H186" s="92"/>
      <c r="I186" s="66" t="str">
        <f t="shared" si="8"/>
        <v>-</v>
      </c>
      <c r="J186" s="67">
        <f>P186-VLOOKUP(Q186,'Points-Score conv.'!$B$4:$C$28,2,FALSE)</f>
        <v>0</v>
      </c>
      <c r="L186" s="68">
        <f>VLOOKUP(Q186+1,'Points-Score conv.'!$B$4:$C$28,2,FALSE)-P186</f>
        <v>1</v>
      </c>
      <c r="P186" s="116">
        <f t="shared" si="9"/>
        <v>0</v>
      </c>
      <c r="Q186" s="117">
        <f>VLOOKUP(P186,'Points-Score conv.'!$C$4:$E$28,3,TRUE)</f>
        <v>0</v>
      </c>
    </row>
    <row r="187" spans="2:21" ht="12.75">
      <c r="B187" s="87"/>
      <c r="E187" s="93" t="s">
        <v>149</v>
      </c>
      <c r="F187" s="63"/>
      <c r="G187" s="63"/>
      <c r="H187" s="92"/>
      <c r="I187" s="66" t="str">
        <f t="shared" si="8"/>
        <v>-</v>
      </c>
      <c r="J187" s="67">
        <f>P187-VLOOKUP(Q187,'Points-Score conv.'!$B$4:$C$28,2,FALSE)</f>
        <v>0</v>
      </c>
      <c r="L187" s="68">
        <f>VLOOKUP(Q187+1,'Points-Score conv.'!$B$4:$C$28,2,FALSE)-P187</f>
        <v>1</v>
      </c>
      <c r="P187" s="116">
        <f t="shared" si="9"/>
        <v>0</v>
      </c>
      <c r="Q187" s="117">
        <f>VLOOKUP(P187,'Points-Score conv.'!$C$4:$E$28,3,TRUE)</f>
        <v>0</v>
      </c>
      <c r="U187" s="69"/>
    </row>
    <row r="188" spans="2:17" ht="12.75">
      <c r="B188" s="87"/>
      <c r="E188" s="93" t="s">
        <v>150</v>
      </c>
      <c r="F188" s="63"/>
      <c r="G188" s="63"/>
      <c r="H188" s="92"/>
      <c r="I188" s="66" t="str">
        <f t="shared" si="8"/>
        <v>-</v>
      </c>
      <c r="J188" s="67">
        <f>P188-VLOOKUP(Q188,'Points-Score conv.'!$B$4:$C$28,2,FALSE)</f>
        <v>0</v>
      </c>
      <c r="L188" s="68">
        <f>VLOOKUP(Q188+1,'Points-Score conv.'!$B$4:$C$28,2,FALSE)-P188</f>
        <v>1</v>
      </c>
      <c r="P188" s="116">
        <f t="shared" si="9"/>
        <v>0</v>
      </c>
      <c r="Q188" s="117">
        <f>VLOOKUP(P188,'Points-Score conv.'!$C$4:$E$28,3,TRUE)</f>
        <v>0</v>
      </c>
    </row>
    <row r="189" spans="2:17" ht="12.75">
      <c r="B189" s="87"/>
      <c r="E189" s="93" t="s">
        <v>151</v>
      </c>
      <c r="F189" s="63"/>
      <c r="G189" s="63"/>
      <c r="H189" s="92"/>
      <c r="I189" s="66" t="str">
        <f t="shared" si="8"/>
        <v>-</v>
      </c>
      <c r="J189" s="67">
        <f>P189-VLOOKUP(Q189,'Points-Score conv.'!$B$4:$C$28,2,FALSE)</f>
        <v>0</v>
      </c>
      <c r="L189" s="68">
        <f>VLOOKUP(Q189+1,'Points-Score conv.'!$B$4:$C$28,2,FALSE)-P189</f>
        <v>1</v>
      </c>
      <c r="P189" s="116">
        <f t="shared" si="9"/>
        <v>0</v>
      </c>
      <c r="Q189" s="117">
        <f>VLOOKUP(P189,'Points-Score conv.'!$C$4:$E$28,3,TRUE)</f>
        <v>0</v>
      </c>
    </row>
    <row r="190" spans="2:17" ht="12.75">
      <c r="B190" s="87"/>
      <c r="E190" s="93" t="s">
        <v>152</v>
      </c>
      <c r="F190" s="63"/>
      <c r="G190" s="63"/>
      <c r="H190" s="92"/>
      <c r="I190" s="66" t="str">
        <f t="shared" si="8"/>
        <v>-</v>
      </c>
      <c r="J190" s="67">
        <f>P190-VLOOKUP(Q190,'Points-Score conv.'!$B$4:$C$28,2,FALSE)</f>
        <v>0</v>
      </c>
      <c r="L190" s="68">
        <f>VLOOKUP(Q190+1,'Points-Score conv.'!$B$4:$C$28,2,FALSE)-P190</f>
        <v>1</v>
      </c>
      <c r="P190" s="116">
        <f t="shared" si="9"/>
        <v>0</v>
      </c>
      <c r="Q190" s="117">
        <f>VLOOKUP(P190,'Points-Score conv.'!$C$4:$E$28,3,TRUE)</f>
        <v>0</v>
      </c>
    </row>
    <row r="191" spans="2:17" ht="12.75">
      <c r="B191" s="87"/>
      <c r="E191" s="93" t="s">
        <v>153</v>
      </c>
      <c r="F191" s="63"/>
      <c r="G191" s="63"/>
      <c r="H191" s="92"/>
      <c r="I191" s="66" t="str">
        <f t="shared" si="8"/>
        <v>-</v>
      </c>
      <c r="J191" s="67">
        <f>P191-VLOOKUP(Q191,'Points-Score conv.'!$B$4:$C$28,2,FALSE)</f>
        <v>0</v>
      </c>
      <c r="L191" s="68">
        <f>VLOOKUP(Q191+1,'Points-Score conv.'!$B$4:$C$28,2,FALSE)-P191</f>
        <v>1</v>
      </c>
      <c r="P191" s="116">
        <f t="shared" si="9"/>
        <v>0</v>
      </c>
      <c r="Q191" s="117">
        <f>VLOOKUP(P191,'Points-Score conv.'!$C$4:$E$28,3,TRUE)</f>
        <v>0</v>
      </c>
    </row>
    <row r="192" spans="2:17" ht="12.75">
      <c r="B192" s="87"/>
      <c r="E192" s="93" t="s">
        <v>154</v>
      </c>
      <c r="F192" s="63"/>
      <c r="G192" s="63"/>
      <c r="H192" s="92"/>
      <c r="I192" s="66" t="str">
        <f t="shared" si="8"/>
        <v>-</v>
      </c>
      <c r="J192" s="67">
        <f>P192-VLOOKUP(Q192,'Points-Score conv.'!$B$4:$C$28,2,FALSE)</f>
        <v>0</v>
      </c>
      <c r="L192" s="68">
        <f>VLOOKUP(Q192+1,'Points-Score conv.'!$B$4:$C$28,2,FALSE)-P192</f>
        <v>1</v>
      </c>
      <c r="P192" s="116">
        <f t="shared" si="9"/>
        <v>0</v>
      </c>
      <c r="Q192" s="117">
        <f>VLOOKUP(P192,'Points-Score conv.'!$C$4:$E$28,3,TRUE)</f>
        <v>0</v>
      </c>
    </row>
    <row r="193" spans="2:17" ht="12.75">
      <c r="B193" s="87"/>
      <c r="E193" s="93" t="s">
        <v>155</v>
      </c>
      <c r="F193" s="63"/>
      <c r="G193" s="63"/>
      <c r="H193" s="92"/>
      <c r="I193" s="66" t="str">
        <f t="shared" si="8"/>
        <v>-</v>
      </c>
      <c r="J193" s="67">
        <f>P193-VLOOKUP(Q193,'Points-Score conv.'!$B$4:$C$28,2,FALSE)</f>
        <v>0</v>
      </c>
      <c r="L193" s="68">
        <f>VLOOKUP(Q193+1,'Points-Score conv.'!$B$4:$C$28,2,FALSE)-P193</f>
        <v>1</v>
      </c>
      <c r="P193" s="116">
        <f t="shared" si="9"/>
        <v>0</v>
      </c>
      <c r="Q193" s="117">
        <f>VLOOKUP(P193,'Points-Score conv.'!$C$4:$E$28,3,TRUE)</f>
        <v>0</v>
      </c>
    </row>
    <row r="194" spans="2:17" ht="12.75">
      <c r="B194" s="87"/>
      <c r="E194" s="93" t="s">
        <v>156</v>
      </c>
      <c r="F194" s="63"/>
      <c r="G194" s="63"/>
      <c r="H194" s="92"/>
      <c r="I194" s="66" t="str">
        <f t="shared" si="8"/>
        <v>-</v>
      </c>
      <c r="J194" s="67">
        <f>P194-VLOOKUP(Q194,'Points-Score conv.'!$B$4:$C$28,2,FALSE)</f>
        <v>0</v>
      </c>
      <c r="L194" s="68">
        <f>VLOOKUP(Q194+1,'Points-Score conv.'!$B$4:$C$28,2,FALSE)-P194</f>
        <v>1</v>
      </c>
      <c r="P194" s="116">
        <f t="shared" si="9"/>
        <v>0</v>
      </c>
      <c r="Q194" s="117">
        <f>VLOOKUP(P194,'Points-Score conv.'!$C$4:$E$28,3,TRUE)</f>
        <v>0</v>
      </c>
    </row>
    <row r="195" spans="2:11" ht="12.75">
      <c r="B195" s="92"/>
      <c r="C195" s="92"/>
      <c r="D195" s="92"/>
      <c r="E195" s="92"/>
      <c r="F195" s="92"/>
      <c r="G195" s="92"/>
      <c r="H195" s="92"/>
      <c r="I195" s="92"/>
      <c r="J195" s="92"/>
      <c r="K195" s="92"/>
    </row>
    <row r="196" ht="12.75">
      <c r="B196" s="65" t="s">
        <v>253</v>
      </c>
    </row>
    <row r="197" spans="4:7" ht="12.75">
      <c r="D197" s="64" t="s">
        <v>251</v>
      </c>
      <c r="F197" s="148">
        <f>IF(MAGUS,120,0)+IF(SKILLP,30,0)</f>
        <v>0</v>
      </c>
      <c r="G197" s="71"/>
    </row>
    <row r="198" spans="4:9" ht="12.75">
      <c r="D198" s="65" t="s">
        <v>254</v>
      </c>
      <c r="F198" s="62">
        <f>F197-F201</f>
        <v>0</v>
      </c>
      <c r="G198" s="62">
        <f>G197-G201</f>
        <v>0</v>
      </c>
      <c r="I198" s="103" t="str">
        <f>IF(SUM($F$198:$G$198)&lt;&gt;0,"You must spend all your spells levels.","-")</f>
        <v>-</v>
      </c>
    </row>
    <row r="200" spans="4:7" ht="12.75">
      <c r="D200" s="65"/>
      <c r="F200" s="69" t="s">
        <v>256</v>
      </c>
      <c r="G200" s="69" t="s">
        <v>256</v>
      </c>
    </row>
    <row r="201" spans="4:7" ht="12.75">
      <c r="D201" s="65" t="s">
        <v>255</v>
      </c>
      <c r="F201" s="63"/>
      <c r="G201" s="63"/>
    </row>
    <row r="202" spans="1:3" ht="12.75">
      <c r="A202" s="107"/>
      <c r="C202" s="97"/>
    </row>
    <row r="203" ht="12.75" customHeight="1">
      <c r="C203" s="97"/>
    </row>
    <row r="204" spans="1:16" ht="12.75" customHeight="1">
      <c r="A204" s="107"/>
      <c r="B204" s="65" t="s">
        <v>249</v>
      </c>
      <c r="D204" s="224" t="s">
        <v>250</v>
      </c>
      <c r="E204" s="225"/>
      <c r="F204" s="95" t="s">
        <v>143</v>
      </c>
      <c r="G204" s="95" t="s">
        <v>144</v>
      </c>
      <c r="H204" s="95" t="s">
        <v>145</v>
      </c>
      <c r="I204" s="95" t="s">
        <v>146</v>
      </c>
      <c r="J204" s="143" t="s">
        <v>147</v>
      </c>
      <c r="P204" s="64" t="s">
        <v>290</v>
      </c>
    </row>
    <row r="205" spans="1:17" ht="12.75">
      <c r="A205" s="107"/>
      <c r="D205" s="226"/>
      <c r="E205" s="227"/>
      <c r="F205" s="112">
        <f>VLOOKUP($F179,'Points-Score conv.'!$C$4:$E$28,3,TRUE)</f>
        <v>0</v>
      </c>
      <c r="G205" s="112">
        <f>VLOOKUP($F180,'Points-Score conv.'!$C$4:$E$28,3,TRUE)</f>
        <v>0</v>
      </c>
      <c r="H205" s="112">
        <f>VLOOKUP($F181,'Points-Score conv.'!$C$4:$E$28,3,TRUE)</f>
        <v>0</v>
      </c>
      <c r="I205" s="112">
        <f>VLOOKUP($F182,'Points-Score conv.'!$C$4:$E$28,3,TRUE)</f>
        <v>0</v>
      </c>
      <c r="J205" s="142">
        <f>VLOOKUP($F183,'Points-Score conv.'!$C$4:$E$28,3,TRUE)</f>
        <v>0</v>
      </c>
      <c r="P205" s="69" t="s">
        <v>211</v>
      </c>
      <c r="Q205" s="95" t="s">
        <v>111</v>
      </c>
    </row>
    <row r="206" spans="1:17" ht="12.75">
      <c r="A206" s="107"/>
      <c r="D206" s="93" t="s">
        <v>148</v>
      </c>
      <c r="E206" s="141">
        <f>VLOOKUP(F185,'Points-Score conv.'!$C$4:$E$28,3,TRUE)</f>
        <v>0</v>
      </c>
      <c r="F206" s="144">
        <f aca="true" t="shared" si="10" ref="F206:J215">$E206+F$205+INT+MT_APP+3</f>
        <v>3</v>
      </c>
      <c r="G206" s="144">
        <f t="shared" si="10"/>
        <v>3</v>
      </c>
      <c r="H206" s="144">
        <f t="shared" si="10"/>
        <v>3</v>
      </c>
      <c r="I206" s="144">
        <f t="shared" si="10"/>
        <v>3</v>
      </c>
      <c r="J206" s="145">
        <f t="shared" si="10"/>
        <v>3</v>
      </c>
      <c r="P206" s="119">
        <f>$F$152</f>
        <v>0</v>
      </c>
      <c r="Q206" s="139">
        <f>VLOOKUP(P206,'Points-Score conv.'!$D$4:$E$28,2,TRUE)</f>
        <v>0</v>
      </c>
    </row>
    <row r="207" spans="1:10" ht="12.75">
      <c r="A207" s="107"/>
      <c r="D207" s="96" t="s">
        <v>193</v>
      </c>
      <c r="E207" s="141">
        <f>VLOOKUP(F186,'Points-Score conv.'!$C$4:$E$28,3,TRUE)</f>
        <v>0</v>
      </c>
      <c r="F207" s="144">
        <f t="shared" si="10"/>
        <v>3</v>
      </c>
      <c r="G207" s="144">
        <f t="shared" si="10"/>
        <v>3</v>
      </c>
      <c r="H207" s="144">
        <f t="shared" si="10"/>
        <v>3</v>
      </c>
      <c r="I207" s="144">
        <f t="shared" si="10"/>
        <v>3</v>
      </c>
      <c r="J207" s="145">
        <f t="shared" si="10"/>
        <v>3</v>
      </c>
    </row>
    <row r="208" spans="1:10" ht="12.75">
      <c r="A208" s="107"/>
      <c r="D208" s="140" t="s">
        <v>149</v>
      </c>
      <c r="E208" s="142">
        <f>VLOOKUP(F187,'Points-Score conv.'!$C$4:$E$28,3,TRUE)</f>
        <v>0</v>
      </c>
      <c r="F208" s="146">
        <f t="shared" si="10"/>
        <v>3</v>
      </c>
      <c r="G208" s="146">
        <f t="shared" si="10"/>
        <v>3</v>
      </c>
      <c r="H208" s="146">
        <f t="shared" si="10"/>
        <v>3</v>
      </c>
      <c r="I208" s="146">
        <f t="shared" si="10"/>
        <v>3</v>
      </c>
      <c r="J208" s="147">
        <f t="shared" si="10"/>
        <v>3</v>
      </c>
    </row>
    <row r="209" spans="1:10" ht="12.75">
      <c r="A209" s="107"/>
      <c r="D209" s="93" t="s">
        <v>150</v>
      </c>
      <c r="E209" s="141">
        <f>VLOOKUP(F188,'Points-Score conv.'!$C$4:$E$28,3,TRUE)</f>
        <v>0</v>
      </c>
      <c r="F209" s="144">
        <f t="shared" si="10"/>
        <v>3</v>
      </c>
      <c r="G209" s="144">
        <f t="shared" si="10"/>
        <v>3</v>
      </c>
      <c r="H209" s="144">
        <f t="shared" si="10"/>
        <v>3</v>
      </c>
      <c r="I209" s="144">
        <f t="shared" si="10"/>
        <v>3</v>
      </c>
      <c r="J209" s="145">
        <f t="shared" si="10"/>
        <v>3</v>
      </c>
    </row>
    <row r="210" spans="1:10" ht="12.75">
      <c r="A210" s="107"/>
      <c r="D210" s="93" t="s">
        <v>151</v>
      </c>
      <c r="E210" s="141">
        <f>VLOOKUP(F189,'Points-Score conv.'!$C$4:$E$28,3,TRUE)</f>
        <v>0</v>
      </c>
      <c r="F210" s="144">
        <f t="shared" si="10"/>
        <v>3</v>
      </c>
      <c r="G210" s="144">
        <f t="shared" si="10"/>
        <v>3</v>
      </c>
      <c r="H210" s="144">
        <f t="shared" si="10"/>
        <v>3</v>
      </c>
      <c r="I210" s="144">
        <f t="shared" si="10"/>
        <v>3</v>
      </c>
      <c r="J210" s="145">
        <f t="shared" si="10"/>
        <v>3</v>
      </c>
    </row>
    <row r="211" spans="1:10" ht="12.75">
      <c r="A211" s="107"/>
      <c r="D211" s="140" t="s">
        <v>152</v>
      </c>
      <c r="E211" s="142">
        <f>VLOOKUP(F190,'Points-Score conv.'!$C$4:$E$28,3,TRUE)</f>
        <v>0</v>
      </c>
      <c r="F211" s="146">
        <f t="shared" si="10"/>
        <v>3</v>
      </c>
      <c r="G211" s="146">
        <f t="shared" si="10"/>
        <v>3</v>
      </c>
      <c r="H211" s="146">
        <f t="shared" si="10"/>
        <v>3</v>
      </c>
      <c r="I211" s="146">
        <f t="shared" si="10"/>
        <v>3</v>
      </c>
      <c r="J211" s="147">
        <f t="shared" si="10"/>
        <v>3</v>
      </c>
    </row>
    <row r="212" spans="1:10" ht="12.75">
      <c r="A212" s="107"/>
      <c r="D212" s="93" t="s">
        <v>153</v>
      </c>
      <c r="E212" s="141">
        <f>VLOOKUP(F191,'Points-Score conv.'!$C$4:$E$28,3,TRUE)</f>
        <v>0</v>
      </c>
      <c r="F212" s="144">
        <f t="shared" si="10"/>
        <v>3</v>
      </c>
      <c r="G212" s="144">
        <f t="shared" si="10"/>
        <v>3</v>
      </c>
      <c r="H212" s="144">
        <f t="shared" si="10"/>
        <v>3</v>
      </c>
      <c r="I212" s="144">
        <f t="shared" si="10"/>
        <v>3</v>
      </c>
      <c r="J212" s="145">
        <f t="shared" si="10"/>
        <v>3</v>
      </c>
    </row>
    <row r="213" spans="1:10" ht="12.75">
      <c r="A213" s="107"/>
      <c r="D213" s="93" t="s">
        <v>154</v>
      </c>
      <c r="E213" s="141">
        <f>VLOOKUP(F192,'Points-Score conv.'!$C$4:$E$28,3,TRUE)</f>
        <v>0</v>
      </c>
      <c r="F213" s="144">
        <f t="shared" si="10"/>
        <v>3</v>
      </c>
      <c r="G213" s="144">
        <f t="shared" si="10"/>
        <v>3</v>
      </c>
      <c r="H213" s="144">
        <f t="shared" si="10"/>
        <v>3</v>
      </c>
      <c r="I213" s="144">
        <f t="shared" si="10"/>
        <v>3</v>
      </c>
      <c r="J213" s="145">
        <f t="shared" si="10"/>
        <v>3</v>
      </c>
    </row>
    <row r="214" spans="1:10" ht="12.75">
      <c r="A214" s="107"/>
      <c r="D214" s="140" t="s">
        <v>155</v>
      </c>
      <c r="E214" s="142">
        <f>VLOOKUP(F193,'Points-Score conv.'!$C$4:$E$28,3,TRUE)</f>
        <v>0</v>
      </c>
      <c r="F214" s="146">
        <f t="shared" si="10"/>
        <v>3</v>
      </c>
      <c r="G214" s="146">
        <f t="shared" si="10"/>
        <v>3</v>
      </c>
      <c r="H214" s="146">
        <f t="shared" si="10"/>
        <v>3</v>
      </c>
      <c r="I214" s="146">
        <f t="shared" si="10"/>
        <v>3</v>
      </c>
      <c r="J214" s="147">
        <f t="shared" si="10"/>
        <v>3</v>
      </c>
    </row>
    <row r="215" spans="1:10" ht="12.75">
      <c r="A215" s="107"/>
      <c r="C215" s="97"/>
      <c r="D215" s="140" t="s">
        <v>156</v>
      </c>
      <c r="E215" s="142">
        <f>VLOOKUP(F194,'Points-Score conv.'!$C$4:$E$28,3,TRUE)</f>
        <v>0</v>
      </c>
      <c r="F215" s="146">
        <f t="shared" si="10"/>
        <v>3</v>
      </c>
      <c r="G215" s="146">
        <f t="shared" si="10"/>
        <v>3</v>
      </c>
      <c r="H215" s="146">
        <f t="shared" si="10"/>
        <v>3</v>
      </c>
      <c r="I215" s="146">
        <f t="shared" si="10"/>
        <v>3</v>
      </c>
      <c r="J215" s="147">
        <f t="shared" si="10"/>
        <v>3</v>
      </c>
    </row>
    <row r="216" spans="1:3" ht="12.75">
      <c r="A216" s="107"/>
      <c r="C216" s="97"/>
    </row>
    <row r="217" spans="1:3" ht="12.75">
      <c r="A217" s="107"/>
      <c r="C217" s="97"/>
    </row>
    <row r="218" spans="1:2" ht="12.75">
      <c r="A218" s="77">
        <v>8</v>
      </c>
      <c r="B218" s="78" t="s">
        <v>231</v>
      </c>
    </row>
    <row r="219" ht="12.75">
      <c r="D219" s="77" t="s">
        <v>111</v>
      </c>
    </row>
    <row r="220" ht="12.75">
      <c r="D220" s="69" t="s">
        <v>196</v>
      </c>
    </row>
    <row r="221" spans="3:4" ht="12.75">
      <c r="C221" s="108"/>
      <c r="D221" s="71"/>
    </row>
    <row r="222" spans="3:4" ht="12.75">
      <c r="C222" s="108"/>
      <c r="D222" s="71"/>
    </row>
    <row r="223" spans="3:4" ht="12.75">
      <c r="C223" s="108"/>
      <c r="D223" s="71"/>
    </row>
    <row r="225" ht="12.75">
      <c r="C225" s="64" t="s">
        <v>233</v>
      </c>
    </row>
    <row r="226" ht="12.75">
      <c r="C226" s="64" t="s">
        <v>234</v>
      </c>
    </row>
    <row r="229" spans="1:2" ht="12.75">
      <c r="A229" s="77">
        <v>10</v>
      </c>
      <c r="B229" s="78" t="s">
        <v>232</v>
      </c>
    </row>
    <row r="231" spans="4:5" ht="12.75">
      <c r="D231" s="69" t="s">
        <v>211</v>
      </c>
      <c r="E231" s="77" t="s">
        <v>111</v>
      </c>
    </row>
    <row r="232" spans="3:5" ht="12.75">
      <c r="C232" s="64" t="s">
        <v>235</v>
      </c>
      <c r="D232" s="79">
        <f>IF(GROG,0,3)</f>
        <v>0</v>
      </c>
      <c r="E232" s="110">
        <f>IF(GROG,0,1)</f>
        <v>0</v>
      </c>
    </row>
    <row r="234" ht="12.75">
      <c r="C234" s="64" t="s">
        <v>236</v>
      </c>
    </row>
    <row r="239" ht="12.75">
      <c r="B239" s="78"/>
    </row>
  </sheetData>
  <sheetProtection/>
  <mergeCells count="4">
    <mergeCell ref="C14:L14"/>
    <mergeCell ref="D25:E25"/>
    <mergeCell ref="I84:J84"/>
    <mergeCell ref="D204:E20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I44" sqref="I44"/>
    </sheetView>
  </sheetViews>
  <sheetFormatPr defaultColWidth="8.57421875" defaultRowHeight="12.75"/>
  <cols>
    <col min="1" max="1" width="2.8515625" style="0" customWidth="1"/>
    <col min="2" max="2" width="42.7109375" style="0" customWidth="1"/>
    <col min="3" max="3" width="5.57421875" style="57" bestFit="1" customWidth="1"/>
    <col min="4" max="14" width="7.8515625" style="0" customWidth="1"/>
    <col min="15" max="15" width="11.00390625" style="0" bestFit="1" customWidth="1"/>
    <col min="16" max="16" width="0.5625" style="160" customWidth="1"/>
    <col min="17" max="17" width="2.8515625" style="0" customWidth="1"/>
    <col min="18" max="20" width="8.57421875" style="0" customWidth="1"/>
    <col min="21" max="21" width="2.8515625" style="0" customWidth="1"/>
    <col min="22" max="22" width="0.5625" style="160" customWidth="1"/>
  </cols>
  <sheetData>
    <row r="1" spans="8:18" ht="12.75">
      <c r="H1" s="159" t="s">
        <v>293</v>
      </c>
      <c r="I1" s="159" t="s">
        <v>294</v>
      </c>
      <c r="R1" t="s">
        <v>295</v>
      </c>
    </row>
    <row r="2" spans="2:18" ht="12.75">
      <c r="B2" s="161" t="s">
        <v>296</v>
      </c>
      <c r="C2" s="162"/>
      <c r="H2" t="s">
        <v>297</v>
      </c>
      <c r="I2" t="s">
        <v>298</v>
      </c>
      <c r="R2" s="163">
        <f>C2*2</f>
        <v>0</v>
      </c>
    </row>
    <row r="3" spans="2:9" ht="12.75">
      <c r="B3" s="161" t="s">
        <v>299</v>
      </c>
      <c r="C3" s="162"/>
      <c r="D3" t="s">
        <v>300</v>
      </c>
      <c r="H3" t="s">
        <v>301</v>
      </c>
      <c r="I3" t="s">
        <v>302</v>
      </c>
    </row>
    <row r="4" spans="8:9" ht="12.75">
      <c r="H4" t="s">
        <v>303</v>
      </c>
      <c r="I4" t="s">
        <v>59</v>
      </c>
    </row>
    <row r="5" spans="1:21" ht="3" customHeight="1">
      <c r="A5" s="160"/>
      <c r="B5" s="160"/>
      <c r="C5" s="164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Q5" s="160"/>
      <c r="R5" s="160"/>
      <c r="S5" s="160"/>
      <c r="T5" s="160"/>
      <c r="U5" s="160"/>
    </row>
    <row r="7" ht="12.75">
      <c r="A7" s="159" t="s">
        <v>304</v>
      </c>
    </row>
    <row r="8" spans="4:8" ht="12.75">
      <c r="D8" s="58" t="s">
        <v>305</v>
      </c>
      <c r="E8" s="58" t="s">
        <v>306</v>
      </c>
      <c r="F8" s="58"/>
      <c r="G8" s="58"/>
      <c r="H8" s="58"/>
    </row>
    <row r="9" spans="1:14" ht="25.5">
      <c r="A9" s="165" t="s">
        <v>307</v>
      </c>
      <c r="D9" s="57" t="s">
        <v>308</v>
      </c>
      <c r="E9" s="57" t="s">
        <v>309</v>
      </c>
      <c r="F9" s="57"/>
      <c r="G9" s="57"/>
      <c r="H9" s="57"/>
      <c r="M9" s="166" t="s">
        <v>156</v>
      </c>
      <c r="N9" s="166" t="s">
        <v>310</v>
      </c>
    </row>
    <row r="10" spans="2:14" ht="12.75">
      <c r="B10" s="167"/>
      <c r="C10" s="168"/>
      <c r="D10" s="162"/>
      <c r="E10" s="169"/>
      <c r="F10" s="170"/>
      <c r="G10" s="171"/>
      <c r="H10" s="171"/>
      <c r="M10" s="172">
        <f>D10*E10</f>
        <v>0</v>
      </c>
      <c r="N10" s="173">
        <v>1</v>
      </c>
    </row>
    <row r="11" spans="2:14" ht="12.75">
      <c r="B11" s="174"/>
      <c r="C11" s="175"/>
      <c r="D11" s="171"/>
      <c r="E11" s="171"/>
      <c r="F11" s="171"/>
      <c r="G11" s="171"/>
      <c r="H11" s="171"/>
      <c r="I11" s="174"/>
      <c r="J11" s="174"/>
      <c r="K11" s="174"/>
      <c r="L11" s="174"/>
      <c r="M11" s="171"/>
      <c r="N11" s="171"/>
    </row>
    <row r="12" spans="4:11" ht="12.75">
      <c r="D12" s="41"/>
      <c r="F12" s="58" t="s">
        <v>305</v>
      </c>
      <c r="G12" s="58" t="s">
        <v>306</v>
      </c>
      <c r="H12" s="57" t="s">
        <v>311</v>
      </c>
      <c r="I12" s="123" t="s">
        <v>312</v>
      </c>
      <c r="J12" s="171" t="s">
        <v>313</v>
      </c>
      <c r="K12" s="171"/>
    </row>
    <row r="13" spans="1:22" s="23" customFormat="1" ht="12.75">
      <c r="A13" s="165" t="s">
        <v>314</v>
      </c>
      <c r="C13" s="57"/>
      <c r="D13" s="176" t="s">
        <v>315</v>
      </c>
      <c r="E13" s="57" t="s">
        <v>316</v>
      </c>
      <c r="F13" s="57" t="s">
        <v>317</v>
      </c>
      <c r="G13" s="57" t="s">
        <v>317</v>
      </c>
      <c r="H13" s="57" t="s">
        <v>317</v>
      </c>
      <c r="I13" s="176" t="s">
        <v>318</v>
      </c>
      <c r="J13" s="171" t="s">
        <v>317</v>
      </c>
      <c r="K13" s="171"/>
      <c r="M13" s="57" t="s">
        <v>156</v>
      </c>
      <c r="N13" s="57" t="s">
        <v>310</v>
      </c>
      <c r="P13" s="177"/>
      <c r="R13" s="23" t="s">
        <v>319</v>
      </c>
      <c r="S13" s="23" t="s">
        <v>320</v>
      </c>
      <c r="T13" s="57" t="s">
        <v>310</v>
      </c>
      <c r="V13" s="177"/>
    </row>
    <row r="14" spans="2:20" ht="12.75">
      <c r="B14" s="178"/>
      <c r="C14" s="179"/>
      <c r="D14" s="169"/>
      <c r="E14" s="180"/>
      <c r="F14" s="180"/>
      <c r="G14" s="181"/>
      <c r="H14" s="182"/>
      <c r="I14" s="183"/>
      <c r="J14" s="184"/>
      <c r="M14" s="172">
        <f aca="true" t="shared" si="0" ref="M14:M25">ROUNDUP(D14/10,0)</f>
        <v>0</v>
      </c>
      <c r="N14" s="185" t="str">
        <f aca="true" t="shared" si="1" ref="N14:N25">IF(AND(D14&gt;0,E14&gt;0),ROUNDUP(T14,0),"-")</f>
        <v>-</v>
      </c>
      <c r="O14" s="186" t="e">
        <f aca="true" t="shared" si="2" ref="O14:O25">IF(AND(D14&gt;0,T14&lt;=0),"Impossible.","-")</f>
        <v>#DIV/0!</v>
      </c>
      <c r="P14" s="187"/>
      <c r="Q14" s="186"/>
      <c r="R14" s="188">
        <f aca="true" t="shared" si="3" ref="R14:R25">$C$3+E14+MIN(SUM(F14:G14)+H14,$C$2)+J14</f>
        <v>0</v>
      </c>
      <c r="S14" s="188">
        <f aca="true" t="shared" si="4" ref="S14:S25">(R14-D14)*MAX(I14,1)</f>
        <v>0</v>
      </c>
      <c r="T14" s="189" t="e">
        <f aca="true" t="shared" si="5" ref="T14:T25">D14/S14</f>
        <v>#DIV/0!</v>
      </c>
    </row>
    <row r="15" spans="2:20" ht="12.75">
      <c r="B15" s="190"/>
      <c r="C15" s="179"/>
      <c r="D15" s="169"/>
      <c r="E15" s="180"/>
      <c r="F15" s="180"/>
      <c r="G15" s="181"/>
      <c r="H15" s="182"/>
      <c r="I15" s="183"/>
      <c r="J15" s="191"/>
      <c r="M15" s="192">
        <f t="shared" si="0"/>
        <v>0</v>
      </c>
      <c r="N15" s="185" t="str">
        <f t="shared" si="1"/>
        <v>-</v>
      </c>
      <c r="O15" s="186" t="e">
        <f t="shared" si="2"/>
        <v>#DIV/0!</v>
      </c>
      <c r="R15" s="188">
        <f t="shared" si="3"/>
        <v>0</v>
      </c>
      <c r="S15" s="188">
        <f t="shared" si="4"/>
        <v>0</v>
      </c>
      <c r="T15" s="189" t="e">
        <f t="shared" si="5"/>
        <v>#DIV/0!</v>
      </c>
    </row>
    <row r="16" spans="2:20" ht="12.75">
      <c r="B16" s="178"/>
      <c r="C16" s="179"/>
      <c r="D16" s="169"/>
      <c r="E16" s="180"/>
      <c r="F16" s="180"/>
      <c r="G16" s="181"/>
      <c r="H16" s="182"/>
      <c r="I16" s="183"/>
      <c r="J16" s="191"/>
      <c r="M16" s="172">
        <f t="shared" si="0"/>
        <v>0</v>
      </c>
      <c r="N16" s="185" t="str">
        <f t="shared" si="1"/>
        <v>-</v>
      </c>
      <c r="O16" s="186" t="e">
        <f t="shared" si="2"/>
        <v>#DIV/0!</v>
      </c>
      <c r="R16" s="188">
        <f t="shared" si="3"/>
        <v>0</v>
      </c>
      <c r="S16" s="188">
        <f t="shared" si="4"/>
        <v>0</v>
      </c>
      <c r="T16" s="189" t="e">
        <f t="shared" si="5"/>
        <v>#DIV/0!</v>
      </c>
    </row>
    <row r="17" spans="2:20" ht="12.75">
      <c r="B17" s="178"/>
      <c r="C17" s="179"/>
      <c r="D17" s="169"/>
      <c r="E17" s="180"/>
      <c r="F17" s="180"/>
      <c r="G17" s="181"/>
      <c r="H17" s="182"/>
      <c r="I17" s="183"/>
      <c r="J17" s="184"/>
      <c r="M17" s="172">
        <f t="shared" si="0"/>
        <v>0</v>
      </c>
      <c r="N17" s="185" t="str">
        <f t="shared" si="1"/>
        <v>-</v>
      </c>
      <c r="O17" s="186" t="e">
        <f t="shared" si="2"/>
        <v>#DIV/0!</v>
      </c>
      <c r="R17" s="188">
        <f t="shared" si="3"/>
        <v>0</v>
      </c>
      <c r="S17" s="188">
        <f t="shared" si="4"/>
        <v>0</v>
      </c>
      <c r="T17" s="189" t="e">
        <f t="shared" si="5"/>
        <v>#DIV/0!</v>
      </c>
    </row>
    <row r="18" spans="2:20" ht="12.75">
      <c r="B18" s="108"/>
      <c r="C18" s="179"/>
      <c r="D18" s="169"/>
      <c r="E18" s="180"/>
      <c r="F18" s="180"/>
      <c r="G18" s="181"/>
      <c r="H18" s="182"/>
      <c r="I18" s="183"/>
      <c r="J18" s="184"/>
      <c r="M18" s="172">
        <f t="shared" si="0"/>
        <v>0</v>
      </c>
      <c r="N18" s="185" t="str">
        <f t="shared" si="1"/>
        <v>-</v>
      </c>
      <c r="O18" s="186" t="e">
        <f t="shared" si="2"/>
        <v>#DIV/0!</v>
      </c>
      <c r="R18" s="188">
        <f t="shared" si="3"/>
        <v>0</v>
      </c>
      <c r="S18" s="188">
        <f t="shared" si="4"/>
        <v>0</v>
      </c>
      <c r="T18" s="189" t="e">
        <f t="shared" si="5"/>
        <v>#DIV/0!</v>
      </c>
    </row>
    <row r="19" spans="2:20" ht="12.75">
      <c r="B19" s="108"/>
      <c r="C19" s="179"/>
      <c r="D19" s="169"/>
      <c r="E19" s="180"/>
      <c r="F19" s="180"/>
      <c r="G19" s="181"/>
      <c r="H19" s="182"/>
      <c r="I19" s="183"/>
      <c r="J19" s="184"/>
      <c r="M19" s="172">
        <f t="shared" si="0"/>
        <v>0</v>
      </c>
      <c r="N19" s="185" t="str">
        <f t="shared" si="1"/>
        <v>-</v>
      </c>
      <c r="O19" s="186" t="e">
        <f t="shared" si="2"/>
        <v>#DIV/0!</v>
      </c>
      <c r="R19" s="188">
        <f t="shared" si="3"/>
        <v>0</v>
      </c>
      <c r="S19" s="188">
        <f t="shared" si="4"/>
        <v>0</v>
      </c>
      <c r="T19" s="189" t="e">
        <f t="shared" si="5"/>
        <v>#DIV/0!</v>
      </c>
    </row>
    <row r="20" spans="2:20" ht="12.75">
      <c r="B20" s="167"/>
      <c r="C20" s="193"/>
      <c r="D20" s="169"/>
      <c r="E20" s="180"/>
      <c r="F20" s="180"/>
      <c r="G20" s="181"/>
      <c r="H20" s="182"/>
      <c r="I20" s="183"/>
      <c r="J20" s="184"/>
      <c r="M20" s="172">
        <f t="shared" si="0"/>
        <v>0</v>
      </c>
      <c r="N20" s="185" t="str">
        <f t="shared" si="1"/>
        <v>-</v>
      </c>
      <c r="O20" s="186" t="e">
        <f t="shared" si="2"/>
        <v>#DIV/0!</v>
      </c>
      <c r="R20" s="188">
        <f t="shared" si="3"/>
        <v>0</v>
      </c>
      <c r="S20" s="188">
        <f t="shared" si="4"/>
        <v>0</v>
      </c>
      <c r="T20" s="189" t="e">
        <f t="shared" si="5"/>
        <v>#DIV/0!</v>
      </c>
    </row>
    <row r="21" spans="2:20" ht="12.75">
      <c r="B21" s="167"/>
      <c r="C21" s="193"/>
      <c r="D21" s="169"/>
      <c r="E21" s="180"/>
      <c r="F21" s="180"/>
      <c r="G21" s="181"/>
      <c r="H21" s="182"/>
      <c r="I21" s="183"/>
      <c r="J21" s="184"/>
      <c r="M21" s="172">
        <f t="shared" si="0"/>
        <v>0</v>
      </c>
      <c r="N21" s="185" t="str">
        <f t="shared" si="1"/>
        <v>-</v>
      </c>
      <c r="O21" s="186" t="e">
        <f t="shared" si="2"/>
        <v>#DIV/0!</v>
      </c>
      <c r="R21" s="188">
        <f t="shared" si="3"/>
        <v>0</v>
      </c>
      <c r="S21" s="188">
        <f t="shared" si="4"/>
        <v>0</v>
      </c>
      <c r="T21" s="189" t="e">
        <f t="shared" si="5"/>
        <v>#DIV/0!</v>
      </c>
    </row>
    <row r="22" spans="2:20" ht="12.75">
      <c r="B22" s="167"/>
      <c r="C22" s="193"/>
      <c r="D22" s="169"/>
      <c r="E22" s="180"/>
      <c r="F22" s="180"/>
      <c r="G22" s="181"/>
      <c r="H22" s="182"/>
      <c r="I22" s="183"/>
      <c r="J22" s="184"/>
      <c r="M22" s="172">
        <f t="shared" si="0"/>
        <v>0</v>
      </c>
      <c r="N22" s="185" t="str">
        <f t="shared" si="1"/>
        <v>-</v>
      </c>
      <c r="O22" s="186" t="e">
        <f t="shared" si="2"/>
        <v>#DIV/0!</v>
      </c>
      <c r="R22" s="188">
        <f t="shared" si="3"/>
        <v>0</v>
      </c>
      <c r="S22" s="188">
        <f t="shared" si="4"/>
        <v>0</v>
      </c>
      <c r="T22" s="189" t="e">
        <f t="shared" si="5"/>
        <v>#DIV/0!</v>
      </c>
    </row>
    <row r="23" spans="2:20" ht="12.75">
      <c r="B23" s="167"/>
      <c r="C23" s="193"/>
      <c r="D23" s="169"/>
      <c r="E23" s="180"/>
      <c r="F23" s="180"/>
      <c r="G23" s="181"/>
      <c r="H23" s="182"/>
      <c r="I23" s="183"/>
      <c r="J23" s="184"/>
      <c r="M23" s="172">
        <f t="shared" si="0"/>
        <v>0</v>
      </c>
      <c r="N23" s="185" t="str">
        <f t="shared" si="1"/>
        <v>-</v>
      </c>
      <c r="O23" s="186" t="e">
        <f t="shared" si="2"/>
        <v>#DIV/0!</v>
      </c>
      <c r="R23" s="188">
        <f t="shared" si="3"/>
        <v>0</v>
      </c>
      <c r="S23" s="188">
        <f t="shared" si="4"/>
        <v>0</v>
      </c>
      <c r="T23" s="189" t="e">
        <f t="shared" si="5"/>
        <v>#DIV/0!</v>
      </c>
    </row>
    <row r="24" spans="2:20" ht="12.75">
      <c r="B24" s="167"/>
      <c r="C24" s="193"/>
      <c r="D24" s="169"/>
      <c r="E24" s="180"/>
      <c r="F24" s="180"/>
      <c r="G24" s="181"/>
      <c r="H24" s="182"/>
      <c r="I24" s="183"/>
      <c r="J24" s="184"/>
      <c r="M24" s="172">
        <f t="shared" si="0"/>
        <v>0</v>
      </c>
      <c r="N24" s="185" t="str">
        <f t="shared" si="1"/>
        <v>-</v>
      </c>
      <c r="O24" s="186" t="e">
        <f t="shared" si="2"/>
        <v>#DIV/0!</v>
      </c>
      <c r="R24" s="188">
        <f t="shared" si="3"/>
        <v>0</v>
      </c>
      <c r="S24" s="188">
        <f t="shared" si="4"/>
        <v>0</v>
      </c>
      <c r="T24" s="189" t="e">
        <f t="shared" si="5"/>
        <v>#DIV/0!</v>
      </c>
    </row>
    <row r="25" spans="2:20" ht="12.75">
      <c r="B25" s="167"/>
      <c r="C25" s="193"/>
      <c r="D25" s="169"/>
      <c r="E25" s="180"/>
      <c r="F25" s="180"/>
      <c r="G25" s="181"/>
      <c r="H25" s="182"/>
      <c r="I25" s="183"/>
      <c r="J25" s="184"/>
      <c r="M25" s="172">
        <f t="shared" si="0"/>
        <v>0</v>
      </c>
      <c r="N25" s="185" t="str">
        <f t="shared" si="1"/>
        <v>-</v>
      </c>
      <c r="O25" s="186" t="e">
        <f t="shared" si="2"/>
        <v>#DIV/0!</v>
      </c>
      <c r="R25" s="188">
        <f t="shared" si="3"/>
        <v>0</v>
      </c>
      <c r="S25" s="188">
        <f t="shared" si="4"/>
        <v>0</v>
      </c>
      <c r="T25" s="189" t="e">
        <f t="shared" si="5"/>
        <v>#DIV/0!</v>
      </c>
    </row>
    <row r="26" spans="4:14" ht="12.75">
      <c r="D26" s="186"/>
      <c r="M26" s="186" t="str">
        <f>IF(SUM(M14:M25)&gt;M10,"Trop de vis.","-")</f>
        <v>-</v>
      </c>
      <c r="N26" s="194"/>
    </row>
    <row r="27" spans="1:14" ht="25.5">
      <c r="A27" s="159"/>
      <c r="M27" s="195" t="s">
        <v>156</v>
      </c>
      <c r="N27" s="195" t="s">
        <v>310</v>
      </c>
    </row>
    <row r="28" spans="12:14" ht="12.75">
      <c r="L28" s="159" t="s">
        <v>321</v>
      </c>
      <c r="M28" s="196">
        <f>SUM(M10:M25)</f>
        <v>0</v>
      </c>
      <c r="N28" s="196">
        <f>SUM(N10:N25)</f>
        <v>1</v>
      </c>
    </row>
    <row r="30" spans="1:21" ht="3" customHeight="1">
      <c r="A30" s="160"/>
      <c r="B30" s="160"/>
      <c r="C30" s="164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Q30" s="160"/>
      <c r="R30" s="160"/>
      <c r="S30" s="160"/>
      <c r="T30" s="160"/>
      <c r="U30" s="160"/>
    </row>
    <row r="32" spans="1:14" ht="12.75">
      <c r="A32" s="159" t="s">
        <v>322</v>
      </c>
      <c r="D32" s="41"/>
      <c r="E32" s="6"/>
      <c r="F32" s="197" t="s">
        <v>305</v>
      </c>
      <c r="G32" s="197" t="s">
        <v>306</v>
      </c>
      <c r="H32" s="54" t="s">
        <v>323</v>
      </c>
      <c r="I32" s="123" t="s">
        <v>312</v>
      </c>
      <c r="J32" s="171" t="s">
        <v>313</v>
      </c>
      <c r="K32" s="58" t="s">
        <v>305</v>
      </c>
      <c r="L32" s="198" t="s">
        <v>306</v>
      </c>
      <c r="N32" s="2"/>
    </row>
    <row r="33" spans="2:19" ht="12.75">
      <c r="B33" s="23"/>
      <c r="D33" s="176" t="s">
        <v>315</v>
      </c>
      <c r="E33" s="55" t="s">
        <v>316</v>
      </c>
      <c r="F33" s="199" t="s">
        <v>317</v>
      </c>
      <c r="G33" s="199" t="s">
        <v>317</v>
      </c>
      <c r="H33" s="56" t="s">
        <v>317</v>
      </c>
      <c r="I33" s="176" t="s">
        <v>318</v>
      </c>
      <c r="J33" s="171" t="s">
        <v>317</v>
      </c>
      <c r="K33" s="57" t="s">
        <v>308</v>
      </c>
      <c r="L33" s="56" t="s">
        <v>309</v>
      </c>
      <c r="M33" s="200" t="s">
        <v>156</v>
      </c>
      <c r="N33" s="56" t="s">
        <v>324</v>
      </c>
      <c r="R33" s="23" t="s">
        <v>319</v>
      </c>
      <c r="S33" s="23" t="s">
        <v>320</v>
      </c>
    </row>
    <row r="34" spans="2:19" ht="12.75">
      <c r="B34" s="204"/>
      <c r="C34" s="63"/>
      <c r="D34" s="169"/>
      <c r="E34" s="180"/>
      <c r="F34" s="180"/>
      <c r="G34" s="181"/>
      <c r="H34" s="182"/>
      <c r="I34" s="182"/>
      <c r="J34" s="184"/>
      <c r="K34" s="169"/>
      <c r="L34" s="201"/>
      <c r="M34" s="196">
        <f>ROUNDUP(D34/10,0)</f>
        <v>0</v>
      </c>
      <c r="N34" s="202">
        <f>MAX(S34/5,1)</f>
        <v>1</v>
      </c>
      <c r="O34" s="203" t="str">
        <f aca="true" t="shared" si="6" ref="O34:O54">IF(D34&gt;0,IF(S34&lt;D34,"Saisons &gt; 1",IF(M34&gt;K34*L34,"Trop de vis.","-")),"-")</f>
        <v>-</v>
      </c>
      <c r="R34" s="188">
        <f aca="true" t="shared" si="7" ref="R34:R54">$C$3+E34+MIN(SUM(F34:G34)+J34+H34,$C$2)</f>
        <v>0</v>
      </c>
      <c r="S34" s="188">
        <f aca="true" t="shared" si="8" ref="S34:S54">(R34-D34)*MAX(I34,1)</f>
        <v>0</v>
      </c>
    </row>
    <row r="35" spans="2:19" ht="12.75">
      <c r="B35" s="205"/>
      <c r="C35" s="63"/>
      <c r="D35" s="169"/>
      <c r="E35" s="180"/>
      <c r="F35" s="180"/>
      <c r="G35" s="181"/>
      <c r="H35" s="182"/>
      <c r="I35" s="182"/>
      <c r="J35" s="184"/>
      <c r="K35" s="169"/>
      <c r="L35" s="201"/>
      <c r="M35" s="196" t="str">
        <f aca="true" t="shared" si="9" ref="M35:M54">IF(D35&gt;0,ROUNDUP(D35/10,0),"-")</f>
        <v>-</v>
      </c>
      <c r="N35" s="202" t="str">
        <f aca="true" t="shared" si="10" ref="N35:N54">IF(D35&gt;0,MAX(S35/5,1),"-")</f>
        <v>-</v>
      </c>
      <c r="O35" s="203" t="str">
        <f t="shared" si="6"/>
        <v>-</v>
      </c>
      <c r="R35" s="188">
        <f t="shared" si="7"/>
        <v>0</v>
      </c>
      <c r="S35" s="188">
        <f t="shared" si="8"/>
        <v>0</v>
      </c>
    </row>
    <row r="36" spans="2:19" ht="12.75">
      <c r="B36" s="204"/>
      <c r="C36" s="63"/>
      <c r="D36" s="169"/>
      <c r="E36" s="180"/>
      <c r="F36" s="180"/>
      <c r="G36" s="181"/>
      <c r="H36" s="182"/>
      <c r="I36" s="182"/>
      <c r="J36" s="184"/>
      <c r="K36" s="169"/>
      <c r="L36" s="201"/>
      <c r="M36" s="196" t="str">
        <f t="shared" si="9"/>
        <v>-</v>
      </c>
      <c r="N36" s="202" t="str">
        <f t="shared" si="10"/>
        <v>-</v>
      </c>
      <c r="O36" s="203" t="str">
        <f t="shared" si="6"/>
        <v>-</v>
      </c>
      <c r="R36" s="188">
        <f t="shared" si="7"/>
        <v>0</v>
      </c>
      <c r="S36" s="188">
        <f t="shared" si="8"/>
        <v>0</v>
      </c>
    </row>
    <row r="37" spans="2:19" ht="12.75">
      <c r="B37" s="204"/>
      <c r="C37" s="63"/>
      <c r="D37" s="169"/>
      <c r="E37" s="180"/>
      <c r="F37" s="180"/>
      <c r="G37" s="181"/>
      <c r="H37" s="182"/>
      <c r="I37" s="182"/>
      <c r="J37" s="184"/>
      <c r="K37" s="169"/>
      <c r="L37" s="201"/>
      <c r="M37" s="196" t="str">
        <f t="shared" si="9"/>
        <v>-</v>
      </c>
      <c r="N37" s="202" t="str">
        <f t="shared" si="10"/>
        <v>-</v>
      </c>
      <c r="O37" s="203" t="str">
        <f t="shared" si="6"/>
        <v>-</v>
      </c>
      <c r="R37" s="188">
        <f t="shared" si="7"/>
        <v>0</v>
      </c>
      <c r="S37" s="188">
        <f t="shared" si="8"/>
        <v>0</v>
      </c>
    </row>
    <row r="38" spans="2:19" ht="12.75">
      <c r="B38" s="204"/>
      <c r="C38" s="63"/>
      <c r="D38" s="169"/>
      <c r="E38" s="180"/>
      <c r="F38" s="180"/>
      <c r="G38" s="181"/>
      <c r="H38" s="182"/>
      <c r="I38" s="182"/>
      <c r="J38" s="184"/>
      <c r="K38" s="169"/>
      <c r="L38" s="201"/>
      <c r="M38" s="196" t="str">
        <f t="shared" si="9"/>
        <v>-</v>
      </c>
      <c r="N38" s="202" t="str">
        <f t="shared" si="10"/>
        <v>-</v>
      </c>
      <c r="O38" s="203" t="str">
        <f t="shared" si="6"/>
        <v>-</v>
      </c>
      <c r="R38" s="188">
        <f t="shared" si="7"/>
        <v>0</v>
      </c>
      <c r="S38" s="188">
        <f t="shared" si="8"/>
        <v>0</v>
      </c>
    </row>
    <row r="39" spans="2:19" ht="12.75">
      <c r="B39" s="204"/>
      <c r="C39" s="63"/>
      <c r="D39" s="169"/>
      <c r="E39" s="180"/>
      <c r="F39" s="180"/>
      <c r="G39" s="181"/>
      <c r="H39" s="182"/>
      <c r="I39" s="182"/>
      <c r="J39" s="184"/>
      <c r="K39" s="169"/>
      <c r="L39" s="201"/>
      <c r="M39" s="196" t="str">
        <f t="shared" si="9"/>
        <v>-</v>
      </c>
      <c r="N39" s="202" t="str">
        <f t="shared" si="10"/>
        <v>-</v>
      </c>
      <c r="O39" s="203" t="str">
        <f t="shared" si="6"/>
        <v>-</v>
      </c>
      <c r="R39" s="188">
        <f t="shared" si="7"/>
        <v>0</v>
      </c>
      <c r="S39" s="188">
        <f t="shared" si="8"/>
        <v>0</v>
      </c>
    </row>
    <row r="40" spans="2:19" ht="12.75">
      <c r="B40" s="204"/>
      <c r="C40" s="63"/>
      <c r="D40" s="169"/>
      <c r="E40" s="180"/>
      <c r="F40" s="180"/>
      <c r="G40" s="181"/>
      <c r="H40" s="182"/>
      <c r="I40" s="182"/>
      <c r="J40" s="184"/>
      <c r="K40" s="169"/>
      <c r="L40" s="201"/>
      <c r="M40" s="196" t="str">
        <f t="shared" si="9"/>
        <v>-</v>
      </c>
      <c r="N40" s="202" t="str">
        <f t="shared" si="10"/>
        <v>-</v>
      </c>
      <c r="O40" s="203" t="str">
        <f t="shared" si="6"/>
        <v>-</v>
      </c>
      <c r="R40" s="188">
        <f t="shared" si="7"/>
        <v>0</v>
      </c>
      <c r="S40" s="188">
        <f t="shared" si="8"/>
        <v>0</v>
      </c>
    </row>
    <row r="41" spans="2:19" ht="12.75">
      <c r="B41" s="204"/>
      <c r="C41" s="63"/>
      <c r="D41" s="169"/>
      <c r="E41" s="180"/>
      <c r="F41" s="180"/>
      <c r="G41" s="181"/>
      <c r="H41" s="182"/>
      <c r="I41" s="182"/>
      <c r="J41" s="184"/>
      <c r="K41" s="169"/>
      <c r="L41" s="201"/>
      <c r="M41" s="196" t="str">
        <f t="shared" si="9"/>
        <v>-</v>
      </c>
      <c r="N41" s="202" t="str">
        <f t="shared" si="10"/>
        <v>-</v>
      </c>
      <c r="O41" s="203" t="str">
        <f t="shared" si="6"/>
        <v>-</v>
      </c>
      <c r="R41" s="188">
        <f t="shared" si="7"/>
        <v>0</v>
      </c>
      <c r="S41" s="188">
        <f t="shared" si="8"/>
        <v>0</v>
      </c>
    </row>
    <row r="42" spans="2:19" ht="12.75">
      <c r="B42" s="204"/>
      <c r="C42" s="63"/>
      <c r="D42" s="169"/>
      <c r="E42" s="180"/>
      <c r="F42" s="180"/>
      <c r="G42" s="181"/>
      <c r="H42" s="182"/>
      <c r="I42" s="182"/>
      <c r="J42" s="184"/>
      <c r="K42" s="169"/>
      <c r="L42" s="201"/>
      <c r="M42" s="196" t="str">
        <f t="shared" si="9"/>
        <v>-</v>
      </c>
      <c r="N42" s="202" t="str">
        <f t="shared" si="10"/>
        <v>-</v>
      </c>
      <c r="O42" s="203" t="str">
        <f t="shared" si="6"/>
        <v>-</v>
      </c>
      <c r="R42" s="188">
        <f t="shared" si="7"/>
        <v>0</v>
      </c>
      <c r="S42" s="188">
        <f t="shared" si="8"/>
        <v>0</v>
      </c>
    </row>
    <row r="43" spans="2:19" ht="12.75">
      <c r="B43" s="204"/>
      <c r="C43" s="63"/>
      <c r="D43" s="169"/>
      <c r="E43" s="180"/>
      <c r="F43" s="180"/>
      <c r="G43" s="181"/>
      <c r="H43" s="182"/>
      <c r="I43" s="182"/>
      <c r="J43" s="184"/>
      <c r="K43" s="169"/>
      <c r="L43" s="201"/>
      <c r="M43" s="196" t="str">
        <f t="shared" si="9"/>
        <v>-</v>
      </c>
      <c r="N43" s="202" t="str">
        <f t="shared" si="10"/>
        <v>-</v>
      </c>
      <c r="O43" s="203" t="str">
        <f t="shared" si="6"/>
        <v>-</v>
      </c>
      <c r="R43" s="188">
        <f t="shared" si="7"/>
        <v>0</v>
      </c>
      <c r="S43" s="188">
        <f t="shared" si="8"/>
        <v>0</v>
      </c>
    </row>
    <row r="44" spans="2:19" ht="12.75">
      <c r="B44" s="204"/>
      <c r="C44" s="63"/>
      <c r="D44" s="169"/>
      <c r="E44" s="180"/>
      <c r="F44" s="180"/>
      <c r="G44" s="181"/>
      <c r="H44" s="182"/>
      <c r="I44" s="182"/>
      <c r="J44" s="184"/>
      <c r="K44" s="169"/>
      <c r="L44" s="201"/>
      <c r="M44" s="196" t="str">
        <f t="shared" si="9"/>
        <v>-</v>
      </c>
      <c r="N44" s="202" t="str">
        <f t="shared" si="10"/>
        <v>-</v>
      </c>
      <c r="O44" s="203" t="str">
        <f t="shared" si="6"/>
        <v>-</v>
      </c>
      <c r="R44" s="188">
        <f t="shared" si="7"/>
        <v>0</v>
      </c>
      <c r="S44" s="188">
        <f t="shared" si="8"/>
        <v>0</v>
      </c>
    </row>
    <row r="45" spans="2:19" ht="12.75">
      <c r="B45" s="204"/>
      <c r="C45" s="63"/>
      <c r="D45" s="169"/>
      <c r="E45" s="180"/>
      <c r="F45" s="180"/>
      <c r="G45" s="181"/>
      <c r="H45" s="182"/>
      <c r="I45" s="182"/>
      <c r="J45" s="184"/>
      <c r="K45" s="169"/>
      <c r="L45" s="201"/>
      <c r="M45" s="196" t="str">
        <f t="shared" si="9"/>
        <v>-</v>
      </c>
      <c r="N45" s="202" t="str">
        <f t="shared" si="10"/>
        <v>-</v>
      </c>
      <c r="O45" s="203" t="str">
        <f t="shared" si="6"/>
        <v>-</v>
      </c>
      <c r="R45" s="188">
        <f t="shared" si="7"/>
        <v>0</v>
      </c>
      <c r="S45" s="188">
        <f t="shared" si="8"/>
        <v>0</v>
      </c>
    </row>
    <row r="46" spans="2:19" ht="12.75">
      <c r="B46" s="204"/>
      <c r="C46" s="63"/>
      <c r="D46" s="169"/>
      <c r="E46" s="180"/>
      <c r="F46" s="180"/>
      <c r="G46" s="181"/>
      <c r="H46" s="182"/>
      <c r="I46" s="182"/>
      <c r="J46" s="184"/>
      <c r="K46" s="169"/>
      <c r="L46" s="201"/>
      <c r="M46" s="196" t="str">
        <f t="shared" si="9"/>
        <v>-</v>
      </c>
      <c r="N46" s="202" t="str">
        <f t="shared" si="10"/>
        <v>-</v>
      </c>
      <c r="O46" s="203" t="str">
        <f t="shared" si="6"/>
        <v>-</v>
      </c>
      <c r="R46" s="188">
        <f t="shared" si="7"/>
        <v>0</v>
      </c>
      <c r="S46" s="188">
        <f t="shared" si="8"/>
        <v>0</v>
      </c>
    </row>
    <row r="47" spans="2:19" ht="12.75">
      <c r="B47" s="204"/>
      <c r="C47" s="63"/>
      <c r="D47" s="169"/>
      <c r="E47" s="180"/>
      <c r="F47" s="180"/>
      <c r="G47" s="181"/>
      <c r="H47" s="182"/>
      <c r="I47" s="182"/>
      <c r="J47" s="184"/>
      <c r="K47" s="169"/>
      <c r="L47" s="201"/>
      <c r="M47" s="196" t="str">
        <f t="shared" si="9"/>
        <v>-</v>
      </c>
      <c r="N47" s="202" t="str">
        <f t="shared" si="10"/>
        <v>-</v>
      </c>
      <c r="O47" s="203" t="str">
        <f t="shared" si="6"/>
        <v>-</v>
      </c>
      <c r="R47" s="188">
        <f t="shared" si="7"/>
        <v>0</v>
      </c>
      <c r="S47" s="188">
        <f t="shared" si="8"/>
        <v>0</v>
      </c>
    </row>
    <row r="48" spans="2:19" ht="12.75">
      <c r="B48" s="204"/>
      <c r="C48" s="63"/>
      <c r="D48" s="169"/>
      <c r="E48" s="180"/>
      <c r="F48" s="180"/>
      <c r="G48" s="181"/>
      <c r="H48" s="182"/>
      <c r="I48" s="182"/>
      <c r="J48" s="184"/>
      <c r="K48" s="169"/>
      <c r="L48" s="201"/>
      <c r="M48" s="196" t="str">
        <f t="shared" si="9"/>
        <v>-</v>
      </c>
      <c r="N48" s="202" t="str">
        <f t="shared" si="10"/>
        <v>-</v>
      </c>
      <c r="O48" s="203" t="str">
        <f t="shared" si="6"/>
        <v>-</v>
      </c>
      <c r="R48" s="188">
        <f t="shared" si="7"/>
        <v>0</v>
      </c>
      <c r="S48" s="188">
        <f t="shared" si="8"/>
        <v>0</v>
      </c>
    </row>
    <row r="49" spans="2:19" ht="12.75">
      <c r="B49" s="204"/>
      <c r="C49" s="63"/>
      <c r="D49" s="169"/>
      <c r="E49" s="180"/>
      <c r="F49" s="180"/>
      <c r="G49" s="181"/>
      <c r="H49" s="182"/>
      <c r="I49" s="182"/>
      <c r="J49" s="184"/>
      <c r="K49" s="169"/>
      <c r="L49" s="201"/>
      <c r="M49" s="196" t="str">
        <f t="shared" si="9"/>
        <v>-</v>
      </c>
      <c r="N49" s="202" t="str">
        <f t="shared" si="10"/>
        <v>-</v>
      </c>
      <c r="O49" s="203" t="str">
        <f t="shared" si="6"/>
        <v>-</v>
      </c>
      <c r="R49" s="188">
        <f t="shared" si="7"/>
        <v>0</v>
      </c>
      <c r="S49" s="188">
        <f t="shared" si="8"/>
        <v>0</v>
      </c>
    </row>
    <row r="50" spans="2:19" ht="12.75">
      <c r="B50" s="204"/>
      <c r="C50" s="63"/>
      <c r="D50" s="169"/>
      <c r="E50" s="180"/>
      <c r="F50" s="180"/>
      <c r="G50" s="181"/>
      <c r="H50" s="182"/>
      <c r="I50" s="182"/>
      <c r="J50" s="184"/>
      <c r="K50" s="169"/>
      <c r="L50" s="201"/>
      <c r="M50" s="196" t="str">
        <f t="shared" si="9"/>
        <v>-</v>
      </c>
      <c r="N50" s="202" t="str">
        <f t="shared" si="10"/>
        <v>-</v>
      </c>
      <c r="O50" s="203" t="str">
        <f t="shared" si="6"/>
        <v>-</v>
      </c>
      <c r="R50" s="188">
        <f t="shared" si="7"/>
        <v>0</v>
      </c>
      <c r="S50" s="188">
        <f t="shared" si="8"/>
        <v>0</v>
      </c>
    </row>
    <row r="51" spans="2:19" ht="12.75">
      <c r="B51" s="204"/>
      <c r="C51" s="63"/>
      <c r="D51" s="169"/>
      <c r="E51" s="180"/>
      <c r="F51" s="180"/>
      <c r="G51" s="181"/>
      <c r="H51" s="182"/>
      <c r="I51" s="182"/>
      <c r="J51" s="184"/>
      <c r="K51" s="169"/>
      <c r="L51" s="201"/>
      <c r="M51" s="196" t="str">
        <f t="shared" si="9"/>
        <v>-</v>
      </c>
      <c r="N51" s="202" t="str">
        <f t="shared" si="10"/>
        <v>-</v>
      </c>
      <c r="O51" s="203" t="str">
        <f t="shared" si="6"/>
        <v>-</v>
      </c>
      <c r="R51" s="188">
        <f t="shared" si="7"/>
        <v>0</v>
      </c>
      <c r="S51" s="188">
        <f t="shared" si="8"/>
        <v>0</v>
      </c>
    </row>
    <row r="52" spans="2:19" ht="12.75">
      <c r="B52" s="204"/>
      <c r="C52" s="63"/>
      <c r="D52" s="169"/>
      <c r="E52" s="180"/>
      <c r="F52" s="180"/>
      <c r="G52" s="181"/>
      <c r="H52" s="182"/>
      <c r="I52" s="182"/>
      <c r="J52" s="184"/>
      <c r="K52" s="169"/>
      <c r="L52" s="201"/>
      <c r="M52" s="196" t="str">
        <f t="shared" si="9"/>
        <v>-</v>
      </c>
      <c r="N52" s="202" t="str">
        <f t="shared" si="10"/>
        <v>-</v>
      </c>
      <c r="O52" s="203" t="str">
        <f t="shared" si="6"/>
        <v>-</v>
      </c>
      <c r="R52" s="188">
        <f t="shared" si="7"/>
        <v>0</v>
      </c>
      <c r="S52" s="188">
        <f t="shared" si="8"/>
        <v>0</v>
      </c>
    </row>
    <row r="53" spans="2:19" ht="12.75">
      <c r="B53" s="204"/>
      <c r="C53" s="63"/>
      <c r="D53" s="169"/>
      <c r="E53" s="180"/>
      <c r="F53" s="180"/>
      <c r="G53" s="181"/>
      <c r="H53" s="182"/>
      <c r="I53" s="182"/>
      <c r="J53" s="184"/>
      <c r="K53" s="169"/>
      <c r="L53" s="201"/>
      <c r="M53" s="196" t="str">
        <f t="shared" si="9"/>
        <v>-</v>
      </c>
      <c r="N53" s="202" t="str">
        <f t="shared" si="10"/>
        <v>-</v>
      </c>
      <c r="O53" s="203" t="str">
        <f t="shared" si="6"/>
        <v>-</v>
      </c>
      <c r="R53" s="188">
        <f t="shared" si="7"/>
        <v>0</v>
      </c>
      <c r="S53" s="188">
        <f t="shared" si="8"/>
        <v>0</v>
      </c>
    </row>
    <row r="54" spans="2:19" ht="12.75">
      <c r="B54" s="204"/>
      <c r="C54" s="63"/>
      <c r="D54" s="169"/>
      <c r="E54" s="180"/>
      <c r="F54" s="180"/>
      <c r="G54" s="181"/>
      <c r="H54" s="182"/>
      <c r="I54" s="182"/>
      <c r="J54" s="184"/>
      <c r="K54" s="169"/>
      <c r="L54" s="201"/>
      <c r="M54" s="196" t="str">
        <f t="shared" si="9"/>
        <v>-</v>
      </c>
      <c r="N54" s="202" t="str">
        <f t="shared" si="10"/>
        <v>-</v>
      </c>
      <c r="O54" s="203" t="str">
        <f t="shared" si="6"/>
        <v>-</v>
      </c>
      <c r="R54" s="188">
        <f t="shared" si="7"/>
        <v>0</v>
      </c>
      <c r="S54" s="188">
        <f t="shared" si="8"/>
        <v>0</v>
      </c>
    </row>
    <row r="56" spans="1:21" ht="3" customHeight="1">
      <c r="A56" s="160"/>
      <c r="B56" s="160"/>
      <c r="C56" s="164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Q56" s="160"/>
      <c r="R56" s="160"/>
      <c r="S56" s="160"/>
      <c r="T56" s="160"/>
      <c r="U56" s="16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.8515625" style="0" customWidth="1"/>
  </cols>
  <sheetData>
    <row r="1" spans="3:4" ht="25.5">
      <c r="C1" s="59" t="s">
        <v>189</v>
      </c>
      <c r="D1" s="59" t="s">
        <v>213</v>
      </c>
    </row>
    <row r="2" spans="3:4" ht="12.75">
      <c r="C2" s="58" t="s">
        <v>214</v>
      </c>
      <c r="D2" s="58"/>
    </row>
    <row r="3" spans="2:5" ht="12.75">
      <c r="B3" s="60" t="s">
        <v>111</v>
      </c>
      <c r="C3" s="57" t="s">
        <v>211</v>
      </c>
      <c r="D3" s="57" t="s">
        <v>211</v>
      </c>
      <c r="E3" s="60" t="s">
        <v>111</v>
      </c>
    </row>
    <row r="4" spans="2:5" ht="12.75">
      <c r="B4" s="121">
        <v>-3</v>
      </c>
      <c r="C4" s="51">
        <f>SUM($B4:B$7)</f>
        <v>-6</v>
      </c>
      <c r="D4" s="122">
        <f>C4*5</f>
        <v>-30</v>
      </c>
      <c r="E4" s="52">
        <f>B4</f>
        <v>-3</v>
      </c>
    </row>
    <row r="5" spans="2:5" ht="12.75">
      <c r="B5" s="123">
        <f>B4+1</f>
        <v>-2</v>
      </c>
      <c r="C5" s="53">
        <f>SUM($B5:B$7)</f>
        <v>-3</v>
      </c>
      <c r="D5" s="124">
        <f aca="true" t="shared" si="0" ref="D5:D27">C5*5</f>
        <v>-15</v>
      </c>
      <c r="E5" s="54">
        <f aca="true" t="shared" si="1" ref="E5:E14">B5</f>
        <v>-2</v>
      </c>
    </row>
    <row r="6" spans="2:5" ht="12.75">
      <c r="B6" s="123">
        <f aca="true" t="shared" si="2" ref="B6:B14">B5+1</f>
        <v>-1</v>
      </c>
      <c r="C6" s="53">
        <f>SUM($B6:B$7)</f>
        <v>-1</v>
      </c>
      <c r="D6" s="124">
        <f t="shared" si="0"/>
        <v>-5</v>
      </c>
      <c r="E6" s="54">
        <f t="shared" si="1"/>
        <v>-1</v>
      </c>
    </row>
    <row r="7" spans="2:5" ht="12.75">
      <c r="B7" s="125">
        <f t="shared" si="2"/>
        <v>0</v>
      </c>
      <c r="C7" s="61">
        <f>SUM($B$7:B7)</f>
        <v>0</v>
      </c>
      <c r="D7" s="126">
        <f>C7*5</f>
        <v>0</v>
      </c>
      <c r="E7" s="126">
        <f t="shared" si="1"/>
        <v>0</v>
      </c>
    </row>
    <row r="8" spans="2:5" ht="12.75">
      <c r="B8" s="123">
        <f t="shared" si="2"/>
        <v>1</v>
      </c>
      <c r="C8" s="53">
        <f>SUM($B$7:B8)</f>
        <v>1</v>
      </c>
      <c r="D8" s="54">
        <f t="shared" si="0"/>
        <v>5</v>
      </c>
      <c r="E8" s="54">
        <f t="shared" si="1"/>
        <v>1</v>
      </c>
    </row>
    <row r="9" spans="2:5" ht="12.75">
      <c r="B9" s="123">
        <f t="shared" si="2"/>
        <v>2</v>
      </c>
      <c r="C9" s="53">
        <f>SUM($B$7:B9)</f>
        <v>3</v>
      </c>
      <c r="D9" s="54">
        <f t="shared" si="0"/>
        <v>15</v>
      </c>
      <c r="E9" s="54">
        <f t="shared" si="1"/>
        <v>2</v>
      </c>
    </row>
    <row r="10" spans="2:5" ht="12.75">
      <c r="B10" s="123">
        <f t="shared" si="2"/>
        <v>3</v>
      </c>
      <c r="C10" s="53">
        <f>SUM($B$7:B10)</f>
        <v>6</v>
      </c>
      <c r="D10" s="54">
        <f t="shared" si="0"/>
        <v>30</v>
      </c>
      <c r="E10" s="54">
        <f t="shared" si="1"/>
        <v>3</v>
      </c>
    </row>
    <row r="11" spans="2:5" ht="12.75">
      <c r="B11" s="123">
        <f t="shared" si="2"/>
        <v>4</v>
      </c>
      <c r="C11" s="53">
        <f>SUM($B$7:B11)</f>
        <v>10</v>
      </c>
      <c r="D11" s="54">
        <f t="shared" si="0"/>
        <v>50</v>
      </c>
      <c r="E11" s="54">
        <f t="shared" si="1"/>
        <v>4</v>
      </c>
    </row>
    <row r="12" spans="2:5" ht="12.75">
      <c r="B12" s="123">
        <f t="shared" si="2"/>
        <v>5</v>
      </c>
      <c r="C12" s="53">
        <f>SUM($B$7:B12)</f>
        <v>15</v>
      </c>
      <c r="D12" s="54">
        <f t="shared" si="0"/>
        <v>75</v>
      </c>
      <c r="E12" s="54">
        <f t="shared" si="1"/>
        <v>5</v>
      </c>
    </row>
    <row r="13" spans="2:5" ht="12.75">
      <c r="B13" s="123">
        <f t="shared" si="2"/>
        <v>6</v>
      </c>
      <c r="C13" s="53">
        <f>SUM($B$7:B13)</f>
        <v>21</v>
      </c>
      <c r="D13" s="54">
        <f t="shared" si="0"/>
        <v>105</v>
      </c>
      <c r="E13" s="54">
        <f t="shared" si="1"/>
        <v>6</v>
      </c>
    </row>
    <row r="14" spans="2:5" ht="12.75">
      <c r="B14" s="123">
        <f t="shared" si="2"/>
        <v>7</v>
      </c>
      <c r="C14" s="53">
        <f>SUM($B$7:B14)</f>
        <v>28</v>
      </c>
      <c r="D14" s="54">
        <f t="shared" si="0"/>
        <v>140</v>
      </c>
      <c r="E14" s="54">
        <f t="shared" si="1"/>
        <v>7</v>
      </c>
    </row>
    <row r="15" spans="2:5" ht="12.75">
      <c r="B15" s="123">
        <f>B14+1</f>
        <v>8</v>
      </c>
      <c r="C15" s="53">
        <f>SUM($B$7:B15)</f>
        <v>36</v>
      </c>
      <c r="D15" s="54">
        <f t="shared" si="0"/>
        <v>180</v>
      </c>
      <c r="E15" s="54">
        <f>B15</f>
        <v>8</v>
      </c>
    </row>
    <row r="16" spans="2:5" ht="12.75">
      <c r="B16" s="123">
        <f>B15+1</f>
        <v>9</v>
      </c>
      <c r="C16" s="53">
        <f>SUM($B$7:B16)</f>
        <v>45</v>
      </c>
      <c r="D16" s="54">
        <f t="shared" si="0"/>
        <v>225</v>
      </c>
      <c r="E16" s="54">
        <f>B16</f>
        <v>9</v>
      </c>
    </row>
    <row r="17" spans="2:5" ht="12.75">
      <c r="B17" s="123">
        <f>B16+1</f>
        <v>10</v>
      </c>
      <c r="C17" s="53">
        <f>SUM($B$7:B17)</f>
        <v>55</v>
      </c>
      <c r="D17" s="54">
        <f t="shared" si="0"/>
        <v>275</v>
      </c>
      <c r="E17" s="54">
        <f>B17</f>
        <v>10</v>
      </c>
    </row>
    <row r="18" spans="2:5" ht="12.75">
      <c r="B18" s="123">
        <f>B17+1</f>
        <v>11</v>
      </c>
      <c r="C18" s="53">
        <f>SUM($B$7:B18)</f>
        <v>66</v>
      </c>
      <c r="D18" s="54">
        <f t="shared" si="0"/>
        <v>330</v>
      </c>
      <c r="E18" s="54">
        <f>B18</f>
        <v>11</v>
      </c>
    </row>
    <row r="19" spans="2:5" ht="12.75">
      <c r="B19" s="123">
        <f aca="true" t="shared" si="3" ref="B19:B27">B18+1</f>
        <v>12</v>
      </c>
      <c r="C19" s="53">
        <f>SUM($B$7:B19)</f>
        <v>78</v>
      </c>
      <c r="D19" s="54">
        <f t="shared" si="0"/>
        <v>390</v>
      </c>
      <c r="E19" s="54">
        <f aca="true" t="shared" si="4" ref="E19:E27">B19</f>
        <v>12</v>
      </c>
    </row>
    <row r="20" spans="2:5" ht="12.75">
      <c r="B20" s="123">
        <f t="shared" si="3"/>
        <v>13</v>
      </c>
      <c r="C20" s="53">
        <f>SUM($B$7:B20)</f>
        <v>91</v>
      </c>
      <c r="D20" s="54">
        <f t="shared" si="0"/>
        <v>455</v>
      </c>
      <c r="E20" s="54">
        <f t="shared" si="4"/>
        <v>13</v>
      </c>
    </row>
    <row r="21" spans="2:5" ht="12.75">
      <c r="B21" s="123">
        <f t="shared" si="3"/>
        <v>14</v>
      </c>
      <c r="C21" s="53">
        <f>SUM($B$7:B21)</f>
        <v>105</v>
      </c>
      <c r="D21" s="54">
        <f t="shared" si="0"/>
        <v>525</v>
      </c>
      <c r="E21" s="54">
        <f t="shared" si="4"/>
        <v>14</v>
      </c>
    </row>
    <row r="22" spans="2:5" ht="12.75">
      <c r="B22" s="123">
        <f t="shared" si="3"/>
        <v>15</v>
      </c>
      <c r="C22" s="53">
        <f>SUM($B$7:B22)</f>
        <v>120</v>
      </c>
      <c r="D22" s="54">
        <f t="shared" si="0"/>
        <v>600</v>
      </c>
      <c r="E22" s="54">
        <f t="shared" si="4"/>
        <v>15</v>
      </c>
    </row>
    <row r="23" spans="2:5" ht="12.75">
      <c r="B23" s="123">
        <f t="shared" si="3"/>
        <v>16</v>
      </c>
      <c r="C23" s="53">
        <f>SUM($B$7:B23)</f>
        <v>136</v>
      </c>
      <c r="D23" s="54">
        <f t="shared" si="0"/>
        <v>680</v>
      </c>
      <c r="E23" s="54">
        <f t="shared" si="4"/>
        <v>16</v>
      </c>
    </row>
    <row r="24" spans="2:5" ht="12.75">
      <c r="B24" s="123">
        <f t="shared" si="3"/>
        <v>17</v>
      </c>
      <c r="C24" s="53">
        <f>SUM($B$7:B24)</f>
        <v>153</v>
      </c>
      <c r="D24" s="54">
        <f t="shared" si="0"/>
        <v>765</v>
      </c>
      <c r="E24" s="54">
        <f t="shared" si="4"/>
        <v>17</v>
      </c>
    </row>
    <row r="25" spans="2:5" ht="12.75">
      <c r="B25" s="123">
        <f t="shared" si="3"/>
        <v>18</v>
      </c>
      <c r="C25" s="53">
        <f>SUM($B$7:B25)</f>
        <v>171</v>
      </c>
      <c r="D25" s="54">
        <f t="shared" si="0"/>
        <v>855</v>
      </c>
      <c r="E25" s="54">
        <f t="shared" si="4"/>
        <v>18</v>
      </c>
    </row>
    <row r="26" spans="2:5" ht="12.75">
      <c r="B26" s="123">
        <f t="shared" si="3"/>
        <v>19</v>
      </c>
      <c r="C26" s="53">
        <f>SUM($B$7:B26)</f>
        <v>190</v>
      </c>
      <c r="D26" s="54">
        <f t="shared" si="0"/>
        <v>950</v>
      </c>
      <c r="E26" s="54">
        <f t="shared" si="4"/>
        <v>19</v>
      </c>
    </row>
    <row r="27" spans="2:5" ht="12.75">
      <c r="B27" s="123">
        <f t="shared" si="3"/>
        <v>20</v>
      </c>
      <c r="C27" s="53">
        <f>SUM($B$7:B27)</f>
        <v>210</v>
      </c>
      <c r="D27" s="54">
        <f t="shared" si="0"/>
        <v>1050</v>
      </c>
      <c r="E27" s="54">
        <f t="shared" si="4"/>
        <v>20</v>
      </c>
    </row>
    <row r="28" spans="2:5" ht="12.75">
      <c r="B28" s="127"/>
      <c r="C28" s="128"/>
      <c r="D28" s="129"/>
      <c r="E28" s="129"/>
    </row>
    <row r="32" ht="25.5">
      <c r="C32" s="59" t="s">
        <v>240</v>
      </c>
    </row>
    <row r="33" spans="2:3" ht="12.75">
      <c r="B33" s="57" t="s">
        <v>241</v>
      </c>
      <c r="C33" s="57" t="s">
        <v>111</v>
      </c>
    </row>
    <row r="34" spans="2:3" ht="12.75">
      <c r="B34" s="51">
        <v>0</v>
      </c>
      <c r="C34" s="52">
        <v>5</v>
      </c>
    </row>
    <row r="35" spans="2:3" ht="12.75">
      <c r="B35" s="53">
        <v>30</v>
      </c>
      <c r="C35" s="54">
        <v>6</v>
      </c>
    </row>
    <row r="36" spans="2:3" ht="12.75">
      <c r="B36" s="53">
        <v>36</v>
      </c>
      <c r="C36" s="54">
        <v>7</v>
      </c>
    </row>
    <row r="37" spans="2:3" ht="12.75">
      <c r="B37" s="53">
        <v>41</v>
      </c>
      <c r="C37" s="54">
        <v>8</v>
      </c>
    </row>
    <row r="38" spans="2:3" ht="12.75">
      <c r="B38" s="55">
        <v>46</v>
      </c>
      <c r="C38" s="56">
        <v>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Sylvain</cp:lastModifiedBy>
  <cp:lastPrinted>2015-06-30T10:56:10Z</cp:lastPrinted>
  <dcterms:created xsi:type="dcterms:W3CDTF">1996-10-21T11:03:58Z</dcterms:created>
  <dcterms:modified xsi:type="dcterms:W3CDTF">2018-04-18T21:10:42Z</dcterms:modified>
  <cp:category/>
  <cp:version/>
  <cp:contentType/>
  <cp:contentStatus/>
</cp:coreProperties>
</file>